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610" windowHeight="9780" firstSheet="27" activeTab="27"/>
  </bookViews>
  <sheets>
    <sheet name="CONGRESS" sheetId="1" r:id="rId1"/>
    <sheet name="OP" sheetId="2" r:id="rId2"/>
    <sheet name="OVP" sheetId="3" r:id="rId3"/>
    <sheet name="DAR" sheetId="4" r:id="rId4"/>
    <sheet name="DA" sheetId="5" r:id="rId5"/>
    <sheet name="DBM" sheetId="6" r:id="rId6"/>
    <sheet name="DEPED" sheetId="7" r:id="rId7"/>
    <sheet name="DOE" sheetId="8" r:id="rId8"/>
    <sheet name="DENR" sheetId="9" r:id="rId9"/>
    <sheet name="DOF" sheetId="10" r:id="rId10"/>
    <sheet name="DFA" sheetId="11" r:id="rId11"/>
    <sheet name="DOH" sheetId="12" r:id="rId12"/>
    <sheet name="DILG" sheetId="13" r:id="rId13"/>
    <sheet name="DOJ" sheetId="14" r:id="rId14"/>
    <sheet name="DOLE" sheetId="15" r:id="rId15"/>
    <sheet name="DND" sheetId="16" r:id="rId16"/>
    <sheet name="DPWH" sheetId="17" state="hidden" r:id="rId17"/>
    <sheet name="DOST" sheetId="18" state="hidden" r:id="rId18"/>
    <sheet name="DSWD" sheetId="19" state="hidden" r:id="rId19"/>
    <sheet name="DOT" sheetId="20" state="hidden" r:id="rId20"/>
    <sheet name="DTI" sheetId="21" state="hidden" r:id="rId21"/>
    <sheet name="DOTC" sheetId="22" state="hidden" r:id="rId22"/>
    <sheet name="NEDA" sheetId="23" state="hidden" r:id="rId23"/>
    <sheet name="PCOO" sheetId="24" state="hidden" r:id="rId24"/>
    <sheet name="OEO" sheetId="25" state="hidden" r:id="rId25"/>
    <sheet name="ARMM" sheetId="26" state="hidden" r:id="rId26"/>
    <sheet name="JLEC" sheetId="27" state="hidden" r:id="rId27"/>
    <sheet name="JUDICIARY" sheetId="28" r:id="rId28"/>
    <sheet name="CSC" sheetId="29" state="hidden" r:id="rId29"/>
    <sheet name="COA" sheetId="30" state="hidden" r:id="rId30"/>
    <sheet name="COMELEC" sheetId="31" state="hidden" r:id="rId31"/>
    <sheet name="OMB" sheetId="32" state="hidden" r:id="rId32"/>
    <sheet name="CHR" sheetId="33" state="hidden" r:id="rId33"/>
    <sheet name="By SUCs" sheetId="40" state="hidden" r:id="rId34"/>
    <sheet name="Sheet39" sheetId="39" state="hidden" r:id="rId35"/>
  </sheets>
  <externalReferences>
    <externalReference r:id="rId36"/>
  </externalReferences>
  <definedNames>
    <definedName name="_xlnm.Print_Area" localSheetId="25">ARMM!$A$1:$Q$21</definedName>
    <definedName name="_xlnm.Print_Area" localSheetId="33">'By SUCs'!$A$1:$Q$1200</definedName>
    <definedName name="_xlnm.Print_Area" localSheetId="32">CHR!$A$1:$Q$18</definedName>
    <definedName name="_xlnm.Print_Area" localSheetId="29">COA!$A$1:$Q$18</definedName>
    <definedName name="_xlnm.Print_Area" localSheetId="30">COMELEC!$A$1:$Q$20</definedName>
    <definedName name="_xlnm.Print_Area" localSheetId="0">CONGRESS!$A$1:$Q$65</definedName>
    <definedName name="_xlnm.Print_Area" localSheetId="28">CSC!$A$1:$Q$36</definedName>
    <definedName name="_xlnm.Print_Area" localSheetId="4">DA!$A$1:$Q$120</definedName>
    <definedName name="_xlnm.Print_Area" localSheetId="3">DAR!$A$1:$Q$18</definedName>
    <definedName name="_xlnm.Print_Area" localSheetId="5">DBM!$A$1:$Q$36</definedName>
    <definedName name="_xlnm.Print_Area" localSheetId="8">DENR!$A$1:$Q$72</definedName>
    <definedName name="_xlnm.Print_Area" localSheetId="6">DEPED!$A$1:$Q$74</definedName>
    <definedName name="_xlnm.Print_Area" localSheetId="10">DFA!$A$1:$Q$54</definedName>
    <definedName name="_xlnm.Print_Area" localSheetId="12">DILG!$A$1:$Q$83</definedName>
    <definedName name="_xlnm.Print_Area" localSheetId="15">DND!$A$1:$Q$108</definedName>
    <definedName name="_xlnm.Print_Area" localSheetId="7">DOE!$A$1:$Q$18</definedName>
    <definedName name="_xlnm.Print_Area" localSheetId="9">DOF!$A$1:$Q$119</definedName>
    <definedName name="_xlnm.Print_Area" localSheetId="11">DOH!$A$1:$Q$47</definedName>
    <definedName name="_xlnm.Print_Area" localSheetId="13">DOJ!$A$1:$Q$110</definedName>
    <definedName name="_xlnm.Print_Area" localSheetId="14">DOLE!$A$1:$Q$102</definedName>
    <definedName name="_xlnm.Print_Area" localSheetId="17">DOST!$A$1:$Q$201</definedName>
    <definedName name="_xlnm.Print_Area" localSheetId="19">DOT!$A$1:$Q$45</definedName>
    <definedName name="_xlnm.Print_Area" localSheetId="21">DOTC!$A$1:$Q$84</definedName>
    <definedName name="_xlnm.Print_Area" localSheetId="16">DPWH!$A$1:$Q$19</definedName>
    <definedName name="_xlnm.Print_Area" localSheetId="18">DSWD!$A$1:$Q$75</definedName>
    <definedName name="_xlnm.Print_Area" localSheetId="20">DTI!$A$1:$Q$74</definedName>
    <definedName name="_xlnm.Print_Area" localSheetId="26">JLEC!$A$1:$Q$21</definedName>
    <definedName name="_xlnm.Print_Area" localSheetId="27">JUDICIARY!$A$1:$Q$66</definedName>
    <definedName name="_xlnm.Print_Area" localSheetId="22">NEDA!$A$1:$Q$84</definedName>
    <definedName name="_xlnm.Print_Area" localSheetId="24">OEO!$A$1:$Q$335</definedName>
    <definedName name="_xlnm.Print_Area" localSheetId="31">OMB!$A$1:$Q$18</definedName>
    <definedName name="_xlnm.Print_Area" localSheetId="1">OP!$A$1:$Q$18</definedName>
    <definedName name="_xlnm.Print_Area" localSheetId="2">OVP!$A$1:$Q$18</definedName>
    <definedName name="_xlnm.Print_Area" localSheetId="23">PCOO!$A$1:$Q$84</definedName>
    <definedName name="_xlnm.Print_Titles" localSheetId="25">ARMM!$1:$8</definedName>
    <definedName name="_xlnm.Print_Titles" localSheetId="33">'By SUCs'!$1:$7</definedName>
    <definedName name="_xlnm.Print_Titles" localSheetId="32">CHR!$1:$8</definedName>
    <definedName name="_xlnm.Print_Titles" localSheetId="29">COA!$1:$8</definedName>
    <definedName name="_xlnm.Print_Titles" localSheetId="30">COMELEC!$1:$8</definedName>
    <definedName name="_xlnm.Print_Titles" localSheetId="0">CONGRESS!$1:$8</definedName>
    <definedName name="_xlnm.Print_Titles" localSheetId="28">CSC!$1:$8</definedName>
    <definedName name="_xlnm.Print_Titles" localSheetId="4">DA!$1:$8</definedName>
    <definedName name="_xlnm.Print_Titles" localSheetId="3">DAR!$1:$8</definedName>
    <definedName name="_xlnm.Print_Titles" localSheetId="5">DBM!$1:$8</definedName>
    <definedName name="_xlnm.Print_Titles" localSheetId="8">DENR!$1:$8</definedName>
    <definedName name="_xlnm.Print_Titles" localSheetId="6">DEPED!$1:$8</definedName>
    <definedName name="_xlnm.Print_Titles" localSheetId="10">DFA!$1:$8</definedName>
    <definedName name="_xlnm.Print_Titles" localSheetId="12">DILG!$1:$8</definedName>
    <definedName name="_xlnm.Print_Titles" localSheetId="15">DND!$1:$8</definedName>
    <definedName name="_xlnm.Print_Titles" localSheetId="7">DOE!$1:$8</definedName>
    <definedName name="_xlnm.Print_Titles" localSheetId="9">DOF!$1:$8</definedName>
    <definedName name="_xlnm.Print_Titles" localSheetId="11">DOH!$1:$8</definedName>
    <definedName name="_xlnm.Print_Titles" localSheetId="13">DOJ!$1:$8</definedName>
    <definedName name="_xlnm.Print_Titles" localSheetId="14">DOLE!$1:$8</definedName>
    <definedName name="_xlnm.Print_Titles" localSheetId="17">DOST!$1:$8</definedName>
    <definedName name="_xlnm.Print_Titles" localSheetId="19">DOT!$1:$8</definedName>
    <definedName name="_xlnm.Print_Titles" localSheetId="21">DOTC!$1:$8</definedName>
    <definedName name="_xlnm.Print_Titles" localSheetId="16">DPWH!$1:$8</definedName>
    <definedName name="_xlnm.Print_Titles" localSheetId="18">DSWD!$1:$8</definedName>
    <definedName name="_xlnm.Print_Titles" localSheetId="20">DTI!$1:$8</definedName>
    <definedName name="_xlnm.Print_Titles" localSheetId="26">JLEC!$1:$8</definedName>
    <definedName name="_xlnm.Print_Titles" localSheetId="27">JUDICIARY!$1:$8</definedName>
    <definedName name="_xlnm.Print_Titles" localSheetId="22">NEDA!$1:$8</definedName>
    <definedName name="_xlnm.Print_Titles" localSheetId="24">OEO!$1:$8</definedName>
    <definedName name="_xlnm.Print_Titles" localSheetId="31">OMB!$1:$8</definedName>
    <definedName name="_xlnm.Print_Titles" localSheetId="1">OP!$1:$8</definedName>
    <definedName name="_xlnm.Print_Titles" localSheetId="2">OVP!$1:$8</definedName>
    <definedName name="_xlnm.Print_Titles" localSheetId="23">PCOO!$1:$8</definedName>
    <definedName name="Z_0E3EBCF3_4F04_4F56_BE50_8622126F1FEC_.wvu.PrintArea" localSheetId="25" hidden="1">ARMM!$A$10:$A$18</definedName>
    <definedName name="Z_0E3EBCF3_4F04_4F56_BE50_8622126F1FEC_.wvu.PrintArea" localSheetId="32" hidden="1">CHR!$A$10:$A$18</definedName>
    <definedName name="Z_0E3EBCF3_4F04_4F56_BE50_8622126F1FEC_.wvu.PrintArea" localSheetId="29" hidden="1">COA!$A$10:$A$18</definedName>
    <definedName name="Z_0E3EBCF3_4F04_4F56_BE50_8622126F1FEC_.wvu.PrintArea" localSheetId="30" hidden="1">COMELEC!$A$10:$A$18</definedName>
    <definedName name="Z_0E3EBCF3_4F04_4F56_BE50_8622126F1FEC_.wvu.PrintArea" localSheetId="0" hidden="1">CONGRESS!$A$10:$A$63</definedName>
    <definedName name="Z_0E3EBCF3_4F04_4F56_BE50_8622126F1FEC_.wvu.PrintArea" localSheetId="28" hidden="1">CSC!$A$10:$A$36</definedName>
    <definedName name="Z_0E3EBCF3_4F04_4F56_BE50_8622126F1FEC_.wvu.PrintArea" localSheetId="4" hidden="1">DA!$A$10:$A$120</definedName>
    <definedName name="Z_0E3EBCF3_4F04_4F56_BE50_8622126F1FEC_.wvu.PrintArea" localSheetId="3" hidden="1">DAR!$A$10:$A$18</definedName>
    <definedName name="Z_0E3EBCF3_4F04_4F56_BE50_8622126F1FEC_.wvu.PrintArea" localSheetId="5" hidden="1">DBM!$A$10:$A$36</definedName>
    <definedName name="Z_0E3EBCF3_4F04_4F56_BE50_8622126F1FEC_.wvu.PrintArea" localSheetId="8" hidden="1">DENR!$A$10:$A$72</definedName>
    <definedName name="Z_0E3EBCF3_4F04_4F56_BE50_8622126F1FEC_.wvu.PrintArea" localSheetId="6" hidden="1">DEPED!$A$10:$A$74</definedName>
    <definedName name="Z_0E3EBCF3_4F04_4F56_BE50_8622126F1FEC_.wvu.PrintArea" localSheetId="10" hidden="1">DFA!$A$10:$A$54</definedName>
    <definedName name="Z_0E3EBCF3_4F04_4F56_BE50_8622126F1FEC_.wvu.PrintArea" localSheetId="12" hidden="1">DILG!$A$10:$A$83</definedName>
    <definedName name="Z_0E3EBCF3_4F04_4F56_BE50_8622126F1FEC_.wvu.PrintArea" localSheetId="15" hidden="1">DND!$A$10:$A$108</definedName>
    <definedName name="Z_0E3EBCF3_4F04_4F56_BE50_8622126F1FEC_.wvu.PrintArea" localSheetId="7" hidden="1">DOE!$A$10:$A$18</definedName>
    <definedName name="Z_0E3EBCF3_4F04_4F56_BE50_8622126F1FEC_.wvu.PrintArea" localSheetId="9" hidden="1">DOF!$A$10:$A$117</definedName>
    <definedName name="Z_0E3EBCF3_4F04_4F56_BE50_8622126F1FEC_.wvu.PrintArea" localSheetId="11" hidden="1">DOH!$A$10:$A$47</definedName>
    <definedName name="Z_0E3EBCF3_4F04_4F56_BE50_8622126F1FEC_.wvu.PrintArea" localSheetId="13" hidden="1">DOJ!$A$10:$A$110</definedName>
    <definedName name="Z_0E3EBCF3_4F04_4F56_BE50_8622126F1FEC_.wvu.PrintArea" localSheetId="14" hidden="1">DOLE!$A$10:$A$102</definedName>
    <definedName name="Z_0E3EBCF3_4F04_4F56_BE50_8622126F1FEC_.wvu.PrintArea" localSheetId="17" hidden="1">DOST!$A$10:$A$201</definedName>
    <definedName name="Z_0E3EBCF3_4F04_4F56_BE50_8622126F1FEC_.wvu.PrintArea" localSheetId="19" hidden="1">DOT!$A$10:$A$45</definedName>
    <definedName name="Z_0E3EBCF3_4F04_4F56_BE50_8622126F1FEC_.wvu.PrintArea" localSheetId="21" hidden="1">DOTC!$A$10:$A$84</definedName>
    <definedName name="Z_0E3EBCF3_4F04_4F56_BE50_8622126F1FEC_.wvu.PrintArea" localSheetId="16" hidden="1">DPWH!$A$10:$A$19</definedName>
    <definedName name="Z_0E3EBCF3_4F04_4F56_BE50_8622126F1FEC_.wvu.PrintArea" localSheetId="18" hidden="1">DSWD!$A$10:$A$65</definedName>
    <definedName name="Z_0E3EBCF3_4F04_4F56_BE50_8622126F1FEC_.wvu.PrintArea" localSheetId="20" hidden="1">DTI!$A$10:$A$74</definedName>
    <definedName name="Z_0E3EBCF3_4F04_4F56_BE50_8622126F1FEC_.wvu.PrintArea" localSheetId="26" hidden="1">JLEC!$A$10:$A$18</definedName>
    <definedName name="Z_0E3EBCF3_4F04_4F56_BE50_8622126F1FEC_.wvu.PrintArea" localSheetId="27" hidden="1">JUDICIARY!$A$10:$A$63</definedName>
    <definedName name="Z_0E3EBCF3_4F04_4F56_BE50_8622126F1FEC_.wvu.PrintArea" localSheetId="22" hidden="1">NEDA!$A$10:$A$81</definedName>
    <definedName name="Z_0E3EBCF3_4F04_4F56_BE50_8622126F1FEC_.wvu.PrintArea" localSheetId="24" hidden="1">OEO!$A$10:$A$335</definedName>
    <definedName name="Z_0E3EBCF3_4F04_4F56_BE50_8622126F1FEC_.wvu.PrintArea" localSheetId="31" hidden="1">OMB!$A$10:$A$18</definedName>
    <definedName name="Z_0E3EBCF3_4F04_4F56_BE50_8622126F1FEC_.wvu.PrintArea" localSheetId="1" hidden="1">OP!$A$10:$A$18</definedName>
    <definedName name="Z_0E3EBCF3_4F04_4F56_BE50_8622126F1FEC_.wvu.PrintArea" localSheetId="2" hidden="1">OVP!$A$10:$A$18</definedName>
    <definedName name="Z_0E3EBCF3_4F04_4F56_BE50_8622126F1FEC_.wvu.PrintArea" localSheetId="23" hidden="1">PCOO!$A$10:$A$81</definedName>
    <definedName name="Z_0E3EBCF3_4F04_4F56_BE50_8622126F1FEC_.wvu.PrintTitles" localSheetId="25" hidden="1">ARMM!$1:$9</definedName>
    <definedName name="Z_0E3EBCF3_4F04_4F56_BE50_8622126F1FEC_.wvu.PrintTitles" localSheetId="32" hidden="1">CHR!$1:$9</definedName>
    <definedName name="Z_0E3EBCF3_4F04_4F56_BE50_8622126F1FEC_.wvu.PrintTitles" localSheetId="29" hidden="1">COA!$1:$9</definedName>
    <definedName name="Z_0E3EBCF3_4F04_4F56_BE50_8622126F1FEC_.wvu.PrintTitles" localSheetId="30" hidden="1">COMELEC!$1:$9</definedName>
    <definedName name="Z_0E3EBCF3_4F04_4F56_BE50_8622126F1FEC_.wvu.PrintTitles" localSheetId="0" hidden="1">CONGRESS!$1:$9</definedName>
    <definedName name="Z_0E3EBCF3_4F04_4F56_BE50_8622126F1FEC_.wvu.PrintTitles" localSheetId="28" hidden="1">CSC!$1:$9</definedName>
    <definedName name="Z_0E3EBCF3_4F04_4F56_BE50_8622126F1FEC_.wvu.PrintTitles" localSheetId="4" hidden="1">DA!$1:$9</definedName>
    <definedName name="Z_0E3EBCF3_4F04_4F56_BE50_8622126F1FEC_.wvu.PrintTitles" localSheetId="3" hidden="1">DAR!$1:$9</definedName>
    <definedName name="Z_0E3EBCF3_4F04_4F56_BE50_8622126F1FEC_.wvu.PrintTitles" localSheetId="5" hidden="1">DBM!$1:$9</definedName>
    <definedName name="Z_0E3EBCF3_4F04_4F56_BE50_8622126F1FEC_.wvu.PrintTitles" localSheetId="8" hidden="1">DENR!$1:$9</definedName>
    <definedName name="Z_0E3EBCF3_4F04_4F56_BE50_8622126F1FEC_.wvu.PrintTitles" localSheetId="6" hidden="1">DEPED!$1:$9</definedName>
    <definedName name="Z_0E3EBCF3_4F04_4F56_BE50_8622126F1FEC_.wvu.PrintTitles" localSheetId="10" hidden="1">DFA!$1:$9</definedName>
    <definedName name="Z_0E3EBCF3_4F04_4F56_BE50_8622126F1FEC_.wvu.PrintTitles" localSheetId="12" hidden="1">DILG!$1:$9</definedName>
    <definedName name="Z_0E3EBCF3_4F04_4F56_BE50_8622126F1FEC_.wvu.PrintTitles" localSheetId="15" hidden="1">DND!$1:$9</definedName>
    <definedName name="Z_0E3EBCF3_4F04_4F56_BE50_8622126F1FEC_.wvu.PrintTitles" localSheetId="7" hidden="1">DOE!$1:$9</definedName>
    <definedName name="Z_0E3EBCF3_4F04_4F56_BE50_8622126F1FEC_.wvu.PrintTitles" localSheetId="9" hidden="1">DOF!$1:$9</definedName>
    <definedName name="Z_0E3EBCF3_4F04_4F56_BE50_8622126F1FEC_.wvu.PrintTitles" localSheetId="11" hidden="1">DOH!$1:$9</definedName>
    <definedName name="Z_0E3EBCF3_4F04_4F56_BE50_8622126F1FEC_.wvu.PrintTitles" localSheetId="13" hidden="1">DOJ!$1:$9</definedName>
    <definedName name="Z_0E3EBCF3_4F04_4F56_BE50_8622126F1FEC_.wvu.PrintTitles" localSheetId="14" hidden="1">DOLE!$1:$9</definedName>
    <definedName name="Z_0E3EBCF3_4F04_4F56_BE50_8622126F1FEC_.wvu.PrintTitles" localSheetId="17" hidden="1">DOST!$1:$9</definedName>
    <definedName name="Z_0E3EBCF3_4F04_4F56_BE50_8622126F1FEC_.wvu.PrintTitles" localSheetId="19" hidden="1">DOT!$1:$9</definedName>
    <definedName name="Z_0E3EBCF3_4F04_4F56_BE50_8622126F1FEC_.wvu.PrintTitles" localSheetId="21" hidden="1">DOTC!$1:$9</definedName>
    <definedName name="Z_0E3EBCF3_4F04_4F56_BE50_8622126F1FEC_.wvu.PrintTitles" localSheetId="16" hidden="1">DPWH!$1:$9</definedName>
    <definedName name="Z_0E3EBCF3_4F04_4F56_BE50_8622126F1FEC_.wvu.PrintTitles" localSheetId="18" hidden="1">DSWD!$1:$9</definedName>
    <definedName name="Z_0E3EBCF3_4F04_4F56_BE50_8622126F1FEC_.wvu.PrintTitles" localSheetId="20" hidden="1">DTI!$1:$9</definedName>
    <definedName name="Z_0E3EBCF3_4F04_4F56_BE50_8622126F1FEC_.wvu.PrintTitles" localSheetId="26" hidden="1">JLEC!$1:$9</definedName>
    <definedName name="Z_0E3EBCF3_4F04_4F56_BE50_8622126F1FEC_.wvu.PrintTitles" localSheetId="27" hidden="1">JUDICIARY!$1:$9</definedName>
    <definedName name="Z_0E3EBCF3_4F04_4F56_BE50_8622126F1FEC_.wvu.PrintTitles" localSheetId="22" hidden="1">NEDA!$1:$9</definedName>
    <definedName name="Z_0E3EBCF3_4F04_4F56_BE50_8622126F1FEC_.wvu.PrintTitles" localSheetId="24" hidden="1">OEO!$1:$9</definedName>
    <definedName name="Z_0E3EBCF3_4F04_4F56_BE50_8622126F1FEC_.wvu.PrintTitles" localSheetId="31" hidden="1">OMB!$1:$9</definedName>
    <definedName name="Z_0E3EBCF3_4F04_4F56_BE50_8622126F1FEC_.wvu.PrintTitles" localSheetId="1" hidden="1">OP!$1:$9</definedName>
    <definedName name="Z_0E3EBCF3_4F04_4F56_BE50_8622126F1FEC_.wvu.PrintTitles" localSheetId="2" hidden="1">OVP!$1:$9</definedName>
    <definedName name="Z_0E3EBCF3_4F04_4F56_BE50_8622126F1FEC_.wvu.PrintTitles" localSheetId="23" hidden="1">PCOO!$1:$9</definedName>
    <definedName name="Z_0E60C614_A4BA_40FF_9D45_2C069838B731_.wvu.Cols" localSheetId="33" hidden="1">'By SUCs'!$B:$D</definedName>
    <definedName name="Z_0E60C614_A4BA_40FF_9D45_2C069838B731_.wvu.PrintArea" localSheetId="25" hidden="1">ARMM!$A$1:$F$18</definedName>
    <definedName name="Z_0E60C614_A4BA_40FF_9D45_2C069838B731_.wvu.PrintArea" localSheetId="33" hidden="1">'By SUCs'!$A$1:$H$1184</definedName>
    <definedName name="Z_0E60C614_A4BA_40FF_9D45_2C069838B731_.wvu.PrintArea" localSheetId="32" hidden="1">CHR!$A$1:$F$18</definedName>
    <definedName name="Z_0E60C614_A4BA_40FF_9D45_2C069838B731_.wvu.PrintArea" localSheetId="29" hidden="1">COA!$A$1:$F$18</definedName>
    <definedName name="Z_0E60C614_A4BA_40FF_9D45_2C069838B731_.wvu.PrintArea" localSheetId="30" hidden="1">COMELEC!$A$1:$F$18</definedName>
    <definedName name="Z_0E60C614_A4BA_40FF_9D45_2C069838B731_.wvu.PrintArea" localSheetId="0" hidden="1">CONGRESS!$A$1:$F$63</definedName>
    <definedName name="Z_0E60C614_A4BA_40FF_9D45_2C069838B731_.wvu.PrintArea" localSheetId="28" hidden="1">CSC!$A$1:$F$36</definedName>
    <definedName name="Z_0E60C614_A4BA_40FF_9D45_2C069838B731_.wvu.PrintArea" localSheetId="4" hidden="1">DA!$A$1:$F$120</definedName>
    <definedName name="Z_0E60C614_A4BA_40FF_9D45_2C069838B731_.wvu.PrintArea" localSheetId="3" hidden="1">DAR!$A$1:$F$18</definedName>
    <definedName name="Z_0E60C614_A4BA_40FF_9D45_2C069838B731_.wvu.PrintArea" localSheetId="5" hidden="1">DBM!$A$1:$F$36</definedName>
    <definedName name="Z_0E60C614_A4BA_40FF_9D45_2C069838B731_.wvu.PrintArea" localSheetId="8" hidden="1">DENR!$A$1:$F$72</definedName>
    <definedName name="Z_0E60C614_A4BA_40FF_9D45_2C069838B731_.wvu.PrintArea" localSheetId="6" hidden="1">DEPED!$A$1:$F$74</definedName>
    <definedName name="Z_0E60C614_A4BA_40FF_9D45_2C069838B731_.wvu.PrintArea" localSheetId="10" hidden="1">DFA!$A$1:$F$54</definedName>
    <definedName name="Z_0E60C614_A4BA_40FF_9D45_2C069838B731_.wvu.PrintArea" localSheetId="12" hidden="1">DILG!$A$1:$F$83</definedName>
    <definedName name="Z_0E60C614_A4BA_40FF_9D45_2C069838B731_.wvu.PrintArea" localSheetId="15" hidden="1">DND!$A$1:$F$108</definedName>
    <definedName name="Z_0E60C614_A4BA_40FF_9D45_2C069838B731_.wvu.PrintArea" localSheetId="7" hidden="1">DOE!$A$1:$F$18</definedName>
    <definedName name="Z_0E60C614_A4BA_40FF_9D45_2C069838B731_.wvu.PrintArea" localSheetId="9" hidden="1">DOF!$A$1:$F$117</definedName>
    <definedName name="Z_0E60C614_A4BA_40FF_9D45_2C069838B731_.wvu.PrintArea" localSheetId="11" hidden="1">DOH!$A$1:$F$47</definedName>
    <definedName name="Z_0E60C614_A4BA_40FF_9D45_2C069838B731_.wvu.PrintArea" localSheetId="13" hidden="1">DOJ!$A$1:$F$110</definedName>
    <definedName name="Z_0E60C614_A4BA_40FF_9D45_2C069838B731_.wvu.PrintArea" localSheetId="14" hidden="1">DOLE!$A$1:$F$102</definedName>
    <definedName name="Z_0E60C614_A4BA_40FF_9D45_2C069838B731_.wvu.PrintArea" localSheetId="17" hidden="1">DOST!$A$1:$F$201</definedName>
    <definedName name="Z_0E60C614_A4BA_40FF_9D45_2C069838B731_.wvu.PrintArea" localSheetId="19" hidden="1">DOT!$A$1:$F$45</definedName>
    <definedName name="Z_0E60C614_A4BA_40FF_9D45_2C069838B731_.wvu.PrintArea" localSheetId="21" hidden="1">DOTC!$A$1:$F$84</definedName>
    <definedName name="Z_0E60C614_A4BA_40FF_9D45_2C069838B731_.wvu.PrintArea" localSheetId="16" hidden="1">DPWH!$A$1:$F$19</definedName>
    <definedName name="Z_0E60C614_A4BA_40FF_9D45_2C069838B731_.wvu.PrintArea" localSheetId="18" hidden="1">DSWD!$A$1:$F$65</definedName>
    <definedName name="Z_0E60C614_A4BA_40FF_9D45_2C069838B731_.wvu.PrintArea" localSheetId="20" hidden="1">DTI!$A$1:$F$74</definedName>
    <definedName name="Z_0E60C614_A4BA_40FF_9D45_2C069838B731_.wvu.PrintArea" localSheetId="26" hidden="1">JLEC!$A$1:$F$18</definedName>
    <definedName name="Z_0E60C614_A4BA_40FF_9D45_2C069838B731_.wvu.PrintArea" localSheetId="27" hidden="1">JUDICIARY!$A$1:$F$63</definedName>
    <definedName name="Z_0E60C614_A4BA_40FF_9D45_2C069838B731_.wvu.PrintArea" localSheetId="22" hidden="1">NEDA!$A$1:$F$81</definedName>
    <definedName name="Z_0E60C614_A4BA_40FF_9D45_2C069838B731_.wvu.PrintArea" localSheetId="24" hidden="1">OEO!$A$1:$F$335</definedName>
    <definedName name="Z_0E60C614_A4BA_40FF_9D45_2C069838B731_.wvu.PrintArea" localSheetId="31" hidden="1">OMB!$A$1:$F$18</definedName>
    <definedName name="Z_0E60C614_A4BA_40FF_9D45_2C069838B731_.wvu.PrintArea" localSheetId="1" hidden="1">OP!$A$1:$F$18</definedName>
    <definedName name="Z_0E60C614_A4BA_40FF_9D45_2C069838B731_.wvu.PrintArea" localSheetId="2" hidden="1">OVP!$A$1:$F$18</definedName>
    <definedName name="Z_0E60C614_A4BA_40FF_9D45_2C069838B731_.wvu.PrintArea" localSheetId="23" hidden="1">PCOO!$A$1:$F$81</definedName>
    <definedName name="Z_0E60C614_A4BA_40FF_9D45_2C069838B731_.wvu.PrintTitles" localSheetId="25" hidden="1">ARMM!$1:$8</definedName>
    <definedName name="Z_0E60C614_A4BA_40FF_9D45_2C069838B731_.wvu.PrintTitles" localSheetId="33" hidden="1">'By SUCs'!$1:$7</definedName>
    <definedName name="Z_0E60C614_A4BA_40FF_9D45_2C069838B731_.wvu.PrintTitles" localSheetId="32" hidden="1">CHR!$1:$8</definedName>
    <definedName name="Z_0E60C614_A4BA_40FF_9D45_2C069838B731_.wvu.PrintTitles" localSheetId="29" hidden="1">COA!$1:$8</definedName>
    <definedName name="Z_0E60C614_A4BA_40FF_9D45_2C069838B731_.wvu.PrintTitles" localSheetId="30" hidden="1">COMELEC!$1:$8</definedName>
    <definedName name="Z_0E60C614_A4BA_40FF_9D45_2C069838B731_.wvu.PrintTitles" localSheetId="0" hidden="1">CONGRESS!$1:$8</definedName>
    <definedName name="Z_0E60C614_A4BA_40FF_9D45_2C069838B731_.wvu.PrintTitles" localSheetId="28" hidden="1">CSC!$1:$8</definedName>
    <definedName name="Z_0E60C614_A4BA_40FF_9D45_2C069838B731_.wvu.PrintTitles" localSheetId="4" hidden="1">DA!$1:$8</definedName>
    <definedName name="Z_0E60C614_A4BA_40FF_9D45_2C069838B731_.wvu.PrintTitles" localSheetId="3" hidden="1">DAR!$1:$8</definedName>
    <definedName name="Z_0E60C614_A4BA_40FF_9D45_2C069838B731_.wvu.PrintTitles" localSheetId="5" hidden="1">DBM!$1:$8</definedName>
    <definedName name="Z_0E60C614_A4BA_40FF_9D45_2C069838B731_.wvu.PrintTitles" localSheetId="8" hidden="1">DENR!$1:$8</definedName>
    <definedName name="Z_0E60C614_A4BA_40FF_9D45_2C069838B731_.wvu.PrintTitles" localSheetId="6" hidden="1">DEPED!$1:$8</definedName>
    <definedName name="Z_0E60C614_A4BA_40FF_9D45_2C069838B731_.wvu.PrintTitles" localSheetId="10" hidden="1">DFA!$1:$8</definedName>
    <definedName name="Z_0E60C614_A4BA_40FF_9D45_2C069838B731_.wvu.PrintTitles" localSheetId="12" hidden="1">DILG!$1:$8</definedName>
    <definedName name="Z_0E60C614_A4BA_40FF_9D45_2C069838B731_.wvu.PrintTitles" localSheetId="15" hidden="1">DND!$1:$8</definedName>
    <definedName name="Z_0E60C614_A4BA_40FF_9D45_2C069838B731_.wvu.PrintTitles" localSheetId="7" hidden="1">DOE!$1:$8</definedName>
    <definedName name="Z_0E60C614_A4BA_40FF_9D45_2C069838B731_.wvu.PrintTitles" localSheetId="9" hidden="1">DOF!$1:$8</definedName>
    <definedName name="Z_0E60C614_A4BA_40FF_9D45_2C069838B731_.wvu.PrintTitles" localSheetId="11" hidden="1">DOH!$1:$8</definedName>
    <definedName name="Z_0E60C614_A4BA_40FF_9D45_2C069838B731_.wvu.PrintTitles" localSheetId="13" hidden="1">DOJ!$1:$8</definedName>
    <definedName name="Z_0E60C614_A4BA_40FF_9D45_2C069838B731_.wvu.PrintTitles" localSheetId="14" hidden="1">DOLE!$1:$8</definedName>
    <definedName name="Z_0E60C614_A4BA_40FF_9D45_2C069838B731_.wvu.PrintTitles" localSheetId="17" hidden="1">DOST!$1:$8</definedName>
    <definedName name="Z_0E60C614_A4BA_40FF_9D45_2C069838B731_.wvu.PrintTitles" localSheetId="19" hidden="1">DOT!$1:$8</definedName>
    <definedName name="Z_0E60C614_A4BA_40FF_9D45_2C069838B731_.wvu.PrintTitles" localSheetId="21" hidden="1">DOTC!$1:$8</definedName>
    <definedName name="Z_0E60C614_A4BA_40FF_9D45_2C069838B731_.wvu.PrintTitles" localSheetId="16" hidden="1">DPWH!$1:$8</definedName>
    <definedName name="Z_0E60C614_A4BA_40FF_9D45_2C069838B731_.wvu.PrintTitles" localSheetId="18" hidden="1">DSWD!$1:$8</definedName>
    <definedName name="Z_0E60C614_A4BA_40FF_9D45_2C069838B731_.wvu.PrintTitles" localSheetId="20" hidden="1">DTI!$1:$8</definedName>
    <definedName name="Z_0E60C614_A4BA_40FF_9D45_2C069838B731_.wvu.PrintTitles" localSheetId="26" hidden="1">JLEC!$1:$8</definedName>
    <definedName name="Z_0E60C614_A4BA_40FF_9D45_2C069838B731_.wvu.PrintTitles" localSheetId="27" hidden="1">JUDICIARY!$1:$8</definedName>
    <definedName name="Z_0E60C614_A4BA_40FF_9D45_2C069838B731_.wvu.PrintTitles" localSheetId="22" hidden="1">NEDA!$1:$8</definedName>
    <definedName name="Z_0E60C614_A4BA_40FF_9D45_2C069838B731_.wvu.PrintTitles" localSheetId="24" hidden="1">OEO!$1:$8</definedName>
    <definedName name="Z_0E60C614_A4BA_40FF_9D45_2C069838B731_.wvu.PrintTitles" localSheetId="31" hidden="1">OMB!$1:$8</definedName>
    <definedName name="Z_0E60C614_A4BA_40FF_9D45_2C069838B731_.wvu.PrintTitles" localSheetId="1" hidden="1">OP!$1:$8</definedName>
    <definedName name="Z_0E60C614_A4BA_40FF_9D45_2C069838B731_.wvu.PrintTitles" localSheetId="2" hidden="1">OVP!$1:$8</definedName>
    <definedName name="Z_0E60C614_A4BA_40FF_9D45_2C069838B731_.wvu.PrintTitles" localSheetId="23" hidden="1">PCOO!$1:$8</definedName>
    <definedName name="Z_0E60C614_A4BA_40FF_9D45_2C069838B731_.wvu.Rows" localSheetId="25" hidden="1">ARMM!#REF!</definedName>
    <definedName name="Z_0E60C614_A4BA_40FF_9D45_2C069838B731_.wvu.Rows" localSheetId="32" hidden="1">CHR!#REF!</definedName>
    <definedName name="Z_0E60C614_A4BA_40FF_9D45_2C069838B731_.wvu.Rows" localSheetId="29" hidden="1">COA!#REF!</definedName>
    <definedName name="Z_0E60C614_A4BA_40FF_9D45_2C069838B731_.wvu.Rows" localSheetId="30" hidden="1">COMELEC!#REF!</definedName>
    <definedName name="Z_0E60C614_A4BA_40FF_9D45_2C069838B731_.wvu.Rows" localSheetId="0" hidden="1">CONGRESS!#REF!</definedName>
    <definedName name="Z_0E60C614_A4BA_40FF_9D45_2C069838B731_.wvu.Rows" localSheetId="28" hidden="1">CSC!#REF!</definedName>
    <definedName name="Z_0E60C614_A4BA_40FF_9D45_2C069838B731_.wvu.Rows" localSheetId="4" hidden="1">DA!#REF!</definedName>
    <definedName name="Z_0E60C614_A4BA_40FF_9D45_2C069838B731_.wvu.Rows" localSheetId="3" hidden="1">DAR!#REF!</definedName>
    <definedName name="Z_0E60C614_A4BA_40FF_9D45_2C069838B731_.wvu.Rows" localSheetId="5" hidden="1">DBM!#REF!</definedName>
    <definedName name="Z_0E60C614_A4BA_40FF_9D45_2C069838B731_.wvu.Rows" localSheetId="8" hidden="1">DENR!#REF!</definedName>
    <definedName name="Z_0E60C614_A4BA_40FF_9D45_2C069838B731_.wvu.Rows" localSheetId="6" hidden="1">DEPED!#REF!</definedName>
    <definedName name="Z_0E60C614_A4BA_40FF_9D45_2C069838B731_.wvu.Rows" localSheetId="10" hidden="1">DFA!#REF!</definedName>
    <definedName name="Z_0E60C614_A4BA_40FF_9D45_2C069838B731_.wvu.Rows" localSheetId="12" hidden="1">DILG!#REF!</definedName>
    <definedName name="Z_0E60C614_A4BA_40FF_9D45_2C069838B731_.wvu.Rows" localSheetId="15" hidden="1">DND!#REF!</definedName>
    <definedName name="Z_0E60C614_A4BA_40FF_9D45_2C069838B731_.wvu.Rows" localSheetId="7" hidden="1">DOE!#REF!</definedName>
    <definedName name="Z_0E60C614_A4BA_40FF_9D45_2C069838B731_.wvu.Rows" localSheetId="9" hidden="1">DOF!#REF!</definedName>
    <definedName name="Z_0E60C614_A4BA_40FF_9D45_2C069838B731_.wvu.Rows" localSheetId="11" hidden="1">DOH!#REF!</definedName>
    <definedName name="Z_0E60C614_A4BA_40FF_9D45_2C069838B731_.wvu.Rows" localSheetId="13" hidden="1">DOJ!#REF!</definedName>
    <definedName name="Z_0E60C614_A4BA_40FF_9D45_2C069838B731_.wvu.Rows" localSheetId="14" hidden="1">DOLE!#REF!</definedName>
    <definedName name="Z_0E60C614_A4BA_40FF_9D45_2C069838B731_.wvu.Rows" localSheetId="17" hidden="1">DOST!#REF!</definedName>
    <definedName name="Z_0E60C614_A4BA_40FF_9D45_2C069838B731_.wvu.Rows" localSheetId="19" hidden="1">DOT!#REF!</definedName>
    <definedName name="Z_0E60C614_A4BA_40FF_9D45_2C069838B731_.wvu.Rows" localSheetId="21" hidden="1">DOTC!#REF!</definedName>
    <definedName name="Z_0E60C614_A4BA_40FF_9D45_2C069838B731_.wvu.Rows" localSheetId="16" hidden="1">DPWH!#REF!</definedName>
    <definedName name="Z_0E60C614_A4BA_40FF_9D45_2C069838B731_.wvu.Rows" localSheetId="18" hidden="1">DSWD!#REF!</definedName>
    <definedName name="Z_0E60C614_A4BA_40FF_9D45_2C069838B731_.wvu.Rows" localSheetId="20" hidden="1">DTI!#REF!</definedName>
    <definedName name="Z_0E60C614_A4BA_40FF_9D45_2C069838B731_.wvu.Rows" localSheetId="26" hidden="1">JLEC!#REF!</definedName>
    <definedName name="Z_0E60C614_A4BA_40FF_9D45_2C069838B731_.wvu.Rows" localSheetId="27" hidden="1">JUDICIARY!#REF!</definedName>
    <definedName name="Z_0E60C614_A4BA_40FF_9D45_2C069838B731_.wvu.Rows" localSheetId="22" hidden="1">NEDA!#REF!</definedName>
    <definedName name="Z_0E60C614_A4BA_40FF_9D45_2C069838B731_.wvu.Rows" localSheetId="24" hidden="1">OEO!#REF!</definedName>
    <definedName name="Z_0E60C614_A4BA_40FF_9D45_2C069838B731_.wvu.Rows" localSheetId="31" hidden="1">OMB!#REF!</definedName>
    <definedName name="Z_0E60C614_A4BA_40FF_9D45_2C069838B731_.wvu.Rows" localSheetId="1" hidden="1">OP!#REF!</definedName>
    <definedName name="Z_0E60C614_A4BA_40FF_9D45_2C069838B731_.wvu.Rows" localSheetId="2" hidden="1">OVP!#REF!</definedName>
    <definedName name="Z_0E60C614_A4BA_40FF_9D45_2C069838B731_.wvu.Rows" localSheetId="23" hidden="1">PCOO!#REF!</definedName>
    <definedName name="Z_0FCAD2ED_F5A8_4488_8355_B3941814BCC0_.wvu.Cols" localSheetId="33" hidden="1">'By SUCs'!#REF!</definedName>
    <definedName name="Z_0FCAD2ED_F5A8_4488_8355_B3941814BCC0_.wvu.PrintArea" localSheetId="33" hidden="1">'By SUCs'!$A$1:$A$1172</definedName>
    <definedName name="Z_0FCAD2ED_F5A8_4488_8355_B3941814BCC0_.wvu.PrintTitles" localSheetId="33" hidden="1">'By SUCs'!$1:$7</definedName>
    <definedName name="Z_11FF9BFF_9ECA_4631_9E35_D0D882176B80_.wvu.Cols" localSheetId="33" hidden="1">'By SUCs'!$B:$D</definedName>
    <definedName name="Z_11FF9BFF_9ECA_4631_9E35_D0D882176B80_.wvu.PrintArea" localSheetId="25" hidden="1">ARMM!$A$1:$F$18</definedName>
    <definedName name="Z_11FF9BFF_9ECA_4631_9E35_D0D882176B80_.wvu.PrintArea" localSheetId="33" hidden="1">'By SUCs'!$A$1:$H$1184</definedName>
    <definedName name="Z_11FF9BFF_9ECA_4631_9E35_D0D882176B80_.wvu.PrintArea" localSheetId="32" hidden="1">CHR!$A$1:$F$18</definedName>
    <definedName name="Z_11FF9BFF_9ECA_4631_9E35_D0D882176B80_.wvu.PrintArea" localSheetId="29" hidden="1">COA!$A$1:$F$18</definedName>
    <definedName name="Z_11FF9BFF_9ECA_4631_9E35_D0D882176B80_.wvu.PrintArea" localSheetId="30" hidden="1">COMELEC!$A$1:$F$18</definedName>
    <definedName name="Z_11FF9BFF_9ECA_4631_9E35_D0D882176B80_.wvu.PrintArea" localSheetId="0" hidden="1">CONGRESS!$A$1:$F$63</definedName>
    <definedName name="Z_11FF9BFF_9ECA_4631_9E35_D0D882176B80_.wvu.PrintArea" localSheetId="28" hidden="1">CSC!$A$1:$F$36</definedName>
    <definedName name="Z_11FF9BFF_9ECA_4631_9E35_D0D882176B80_.wvu.PrintArea" localSheetId="4" hidden="1">DA!$A$1:$F$120</definedName>
    <definedName name="Z_11FF9BFF_9ECA_4631_9E35_D0D882176B80_.wvu.PrintArea" localSheetId="3" hidden="1">DAR!$A$1:$F$18</definedName>
    <definedName name="Z_11FF9BFF_9ECA_4631_9E35_D0D882176B80_.wvu.PrintArea" localSheetId="5" hidden="1">DBM!$A$1:$F$36</definedName>
    <definedName name="Z_11FF9BFF_9ECA_4631_9E35_D0D882176B80_.wvu.PrintArea" localSheetId="8" hidden="1">DENR!$A$1:$F$72</definedName>
    <definedName name="Z_11FF9BFF_9ECA_4631_9E35_D0D882176B80_.wvu.PrintArea" localSheetId="6" hidden="1">DEPED!$A$1:$F$74</definedName>
    <definedName name="Z_11FF9BFF_9ECA_4631_9E35_D0D882176B80_.wvu.PrintArea" localSheetId="10" hidden="1">DFA!$A$1:$F$54</definedName>
    <definedName name="Z_11FF9BFF_9ECA_4631_9E35_D0D882176B80_.wvu.PrintArea" localSheetId="12" hidden="1">DILG!$A$1:$F$83</definedName>
    <definedName name="Z_11FF9BFF_9ECA_4631_9E35_D0D882176B80_.wvu.PrintArea" localSheetId="15" hidden="1">DND!$A$1:$F$108</definedName>
    <definedName name="Z_11FF9BFF_9ECA_4631_9E35_D0D882176B80_.wvu.PrintArea" localSheetId="7" hidden="1">DOE!$A$1:$F$18</definedName>
    <definedName name="Z_11FF9BFF_9ECA_4631_9E35_D0D882176B80_.wvu.PrintArea" localSheetId="9" hidden="1">DOF!$A$1:$F$117</definedName>
    <definedName name="Z_11FF9BFF_9ECA_4631_9E35_D0D882176B80_.wvu.PrintArea" localSheetId="11" hidden="1">DOH!$A$1:$F$47</definedName>
    <definedName name="Z_11FF9BFF_9ECA_4631_9E35_D0D882176B80_.wvu.PrintArea" localSheetId="13" hidden="1">DOJ!$A$1:$F$110</definedName>
    <definedName name="Z_11FF9BFF_9ECA_4631_9E35_D0D882176B80_.wvu.PrintArea" localSheetId="14" hidden="1">DOLE!$A$1:$F$102</definedName>
    <definedName name="Z_11FF9BFF_9ECA_4631_9E35_D0D882176B80_.wvu.PrintArea" localSheetId="17" hidden="1">DOST!$A$1:$F$201</definedName>
    <definedName name="Z_11FF9BFF_9ECA_4631_9E35_D0D882176B80_.wvu.PrintArea" localSheetId="19" hidden="1">DOT!$A$1:$F$45</definedName>
    <definedName name="Z_11FF9BFF_9ECA_4631_9E35_D0D882176B80_.wvu.PrintArea" localSheetId="21" hidden="1">DOTC!$A$1:$F$84</definedName>
    <definedName name="Z_11FF9BFF_9ECA_4631_9E35_D0D882176B80_.wvu.PrintArea" localSheetId="16" hidden="1">DPWH!$A$1:$F$19</definedName>
    <definedName name="Z_11FF9BFF_9ECA_4631_9E35_D0D882176B80_.wvu.PrintArea" localSheetId="18" hidden="1">DSWD!$A$1:$F$65</definedName>
    <definedName name="Z_11FF9BFF_9ECA_4631_9E35_D0D882176B80_.wvu.PrintArea" localSheetId="20" hidden="1">DTI!$A$1:$F$74</definedName>
    <definedName name="Z_11FF9BFF_9ECA_4631_9E35_D0D882176B80_.wvu.PrintArea" localSheetId="26" hidden="1">JLEC!$A$1:$F$18</definedName>
    <definedName name="Z_11FF9BFF_9ECA_4631_9E35_D0D882176B80_.wvu.PrintArea" localSheetId="27" hidden="1">JUDICIARY!$A$1:$F$63</definedName>
    <definedName name="Z_11FF9BFF_9ECA_4631_9E35_D0D882176B80_.wvu.PrintArea" localSheetId="22" hidden="1">NEDA!$A$1:$F$81</definedName>
    <definedName name="Z_11FF9BFF_9ECA_4631_9E35_D0D882176B80_.wvu.PrintArea" localSheetId="24" hidden="1">OEO!$A$1:$F$335</definedName>
    <definedName name="Z_11FF9BFF_9ECA_4631_9E35_D0D882176B80_.wvu.PrintArea" localSheetId="31" hidden="1">OMB!$A$1:$F$18</definedName>
    <definedName name="Z_11FF9BFF_9ECA_4631_9E35_D0D882176B80_.wvu.PrintArea" localSheetId="1" hidden="1">OP!$A$1:$F$18</definedName>
    <definedName name="Z_11FF9BFF_9ECA_4631_9E35_D0D882176B80_.wvu.PrintArea" localSheetId="2" hidden="1">OVP!$A$1:$F$18</definedName>
    <definedName name="Z_11FF9BFF_9ECA_4631_9E35_D0D882176B80_.wvu.PrintArea" localSheetId="23" hidden="1">PCOO!$A$1:$F$81</definedName>
    <definedName name="Z_11FF9BFF_9ECA_4631_9E35_D0D882176B80_.wvu.PrintTitles" localSheetId="25" hidden="1">ARMM!$1:$8</definedName>
    <definedName name="Z_11FF9BFF_9ECA_4631_9E35_D0D882176B80_.wvu.PrintTitles" localSheetId="33" hidden="1">'By SUCs'!$1:$7</definedName>
    <definedName name="Z_11FF9BFF_9ECA_4631_9E35_D0D882176B80_.wvu.PrintTitles" localSheetId="32" hidden="1">CHR!$1:$8</definedName>
    <definedName name="Z_11FF9BFF_9ECA_4631_9E35_D0D882176B80_.wvu.PrintTitles" localSheetId="29" hidden="1">COA!$1:$8</definedName>
    <definedName name="Z_11FF9BFF_9ECA_4631_9E35_D0D882176B80_.wvu.PrintTitles" localSheetId="30" hidden="1">COMELEC!$1:$8</definedName>
    <definedName name="Z_11FF9BFF_9ECA_4631_9E35_D0D882176B80_.wvu.PrintTitles" localSheetId="0" hidden="1">CONGRESS!$1:$8</definedName>
    <definedName name="Z_11FF9BFF_9ECA_4631_9E35_D0D882176B80_.wvu.PrintTitles" localSheetId="28" hidden="1">CSC!$1:$8</definedName>
    <definedName name="Z_11FF9BFF_9ECA_4631_9E35_D0D882176B80_.wvu.PrintTitles" localSheetId="4" hidden="1">DA!$1:$8</definedName>
    <definedName name="Z_11FF9BFF_9ECA_4631_9E35_D0D882176B80_.wvu.PrintTitles" localSheetId="3" hidden="1">DAR!$1:$8</definedName>
    <definedName name="Z_11FF9BFF_9ECA_4631_9E35_D0D882176B80_.wvu.PrintTitles" localSheetId="5" hidden="1">DBM!$1:$8</definedName>
    <definedName name="Z_11FF9BFF_9ECA_4631_9E35_D0D882176B80_.wvu.PrintTitles" localSheetId="8" hidden="1">DENR!$1:$8</definedName>
    <definedName name="Z_11FF9BFF_9ECA_4631_9E35_D0D882176B80_.wvu.PrintTitles" localSheetId="6" hidden="1">DEPED!$1:$8</definedName>
    <definedName name="Z_11FF9BFF_9ECA_4631_9E35_D0D882176B80_.wvu.PrintTitles" localSheetId="10" hidden="1">DFA!$1:$8</definedName>
    <definedName name="Z_11FF9BFF_9ECA_4631_9E35_D0D882176B80_.wvu.PrintTitles" localSheetId="12" hidden="1">DILG!$1:$8</definedName>
    <definedName name="Z_11FF9BFF_9ECA_4631_9E35_D0D882176B80_.wvu.PrintTitles" localSheetId="15" hidden="1">DND!$1:$8</definedName>
    <definedName name="Z_11FF9BFF_9ECA_4631_9E35_D0D882176B80_.wvu.PrintTitles" localSheetId="7" hidden="1">DOE!$1:$8</definedName>
    <definedName name="Z_11FF9BFF_9ECA_4631_9E35_D0D882176B80_.wvu.PrintTitles" localSheetId="9" hidden="1">DOF!$1:$8</definedName>
    <definedName name="Z_11FF9BFF_9ECA_4631_9E35_D0D882176B80_.wvu.PrintTitles" localSheetId="11" hidden="1">DOH!$1:$8</definedName>
    <definedName name="Z_11FF9BFF_9ECA_4631_9E35_D0D882176B80_.wvu.PrintTitles" localSheetId="13" hidden="1">DOJ!$1:$8</definedName>
    <definedName name="Z_11FF9BFF_9ECA_4631_9E35_D0D882176B80_.wvu.PrintTitles" localSheetId="14" hidden="1">DOLE!$1:$8</definedName>
    <definedName name="Z_11FF9BFF_9ECA_4631_9E35_D0D882176B80_.wvu.PrintTitles" localSheetId="17" hidden="1">DOST!$1:$8</definedName>
    <definedName name="Z_11FF9BFF_9ECA_4631_9E35_D0D882176B80_.wvu.PrintTitles" localSheetId="19" hidden="1">DOT!$1:$8</definedName>
    <definedName name="Z_11FF9BFF_9ECA_4631_9E35_D0D882176B80_.wvu.PrintTitles" localSheetId="21" hidden="1">DOTC!$1:$8</definedName>
    <definedName name="Z_11FF9BFF_9ECA_4631_9E35_D0D882176B80_.wvu.PrintTitles" localSheetId="16" hidden="1">DPWH!$1:$8</definedName>
    <definedName name="Z_11FF9BFF_9ECA_4631_9E35_D0D882176B80_.wvu.PrintTitles" localSheetId="18" hidden="1">DSWD!$1:$8</definedName>
    <definedName name="Z_11FF9BFF_9ECA_4631_9E35_D0D882176B80_.wvu.PrintTitles" localSheetId="20" hidden="1">DTI!$1:$8</definedName>
    <definedName name="Z_11FF9BFF_9ECA_4631_9E35_D0D882176B80_.wvu.PrintTitles" localSheetId="26" hidden="1">JLEC!$1:$8</definedName>
    <definedName name="Z_11FF9BFF_9ECA_4631_9E35_D0D882176B80_.wvu.PrintTitles" localSheetId="27" hidden="1">JUDICIARY!$1:$8</definedName>
    <definedName name="Z_11FF9BFF_9ECA_4631_9E35_D0D882176B80_.wvu.PrintTitles" localSheetId="22" hidden="1">NEDA!$1:$8</definedName>
    <definedName name="Z_11FF9BFF_9ECA_4631_9E35_D0D882176B80_.wvu.PrintTitles" localSheetId="24" hidden="1">OEO!$1:$8</definedName>
    <definedName name="Z_11FF9BFF_9ECA_4631_9E35_D0D882176B80_.wvu.PrintTitles" localSheetId="31" hidden="1">OMB!$1:$8</definedName>
    <definedName name="Z_11FF9BFF_9ECA_4631_9E35_D0D882176B80_.wvu.PrintTitles" localSheetId="1" hidden="1">OP!$1:$8</definedName>
    <definedName name="Z_11FF9BFF_9ECA_4631_9E35_D0D882176B80_.wvu.PrintTitles" localSheetId="2" hidden="1">OVP!$1:$8</definedName>
    <definedName name="Z_11FF9BFF_9ECA_4631_9E35_D0D882176B80_.wvu.PrintTitles" localSheetId="23" hidden="1">PCOO!$1:$8</definedName>
    <definedName name="Z_11FF9BFF_9ECA_4631_9E35_D0D882176B80_.wvu.Rows" localSheetId="25" hidden="1">ARMM!#REF!</definedName>
    <definedName name="Z_11FF9BFF_9ECA_4631_9E35_D0D882176B80_.wvu.Rows" localSheetId="32" hidden="1">CHR!#REF!</definedName>
    <definedName name="Z_11FF9BFF_9ECA_4631_9E35_D0D882176B80_.wvu.Rows" localSheetId="29" hidden="1">COA!#REF!</definedName>
    <definedName name="Z_11FF9BFF_9ECA_4631_9E35_D0D882176B80_.wvu.Rows" localSheetId="30" hidden="1">COMELEC!#REF!</definedName>
    <definedName name="Z_11FF9BFF_9ECA_4631_9E35_D0D882176B80_.wvu.Rows" localSheetId="0" hidden="1">CONGRESS!#REF!</definedName>
    <definedName name="Z_11FF9BFF_9ECA_4631_9E35_D0D882176B80_.wvu.Rows" localSheetId="28" hidden="1">CSC!#REF!</definedName>
    <definedName name="Z_11FF9BFF_9ECA_4631_9E35_D0D882176B80_.wvu.Rows" localSheetId="4" hidden="1">DA!#REF!</definedName>
    <definedName name="Z_11FF9BFF_9ECA_4631_9E35_D0D882176B80_.wvu.Rows" localSheetId="3" hidden="1">DAR!#REF!</definedName>
    <definedName name="Z_11FF9BFF_9ECA_4631_9E35_D0D882176B80_.wvu.Rows" localSheetId="5" hidden="1">DBM!#REF!</definedName>
    <definedName name="Z_11FF9BFF_9ECA_4631_9E35_D0D882176B80_.wvu.Rows" localSheetId="8" hidden="1">DENR!#REF!</definedName>
    <definedName name="Z_11FF9BFF_9ECA_4631_9E35_D0D882176B80_.wvu.Rows" localSheetId="6" hidden="1">DEPED!#REF!</definedName>
    <definedName name="Z_11FF9BFF_9ECA_4631_9E35_D0D882176B80_.wvu.Rows" localSheetId="10" hidden="1">DFA!#REF!</definedName>
    <definedName name="Z_11FF9BFF_9ECA_4631_9E35_D0D882176B80_.wvu.Rows" localSheetId="12" hidden="1">DILG!#REF!</definedName>
    <definedName name="Z_11FF9BFF_9ECA_4631_9E35_D0D882176B80_.wvu.Rows" localSheetId="15" hidden="1">DND!#REF!</definedName>
    <definedName name="Z_11FF9BFF_9ECA_4631_9E35_D0D882176B80_.wvu.Rows" localSheetId="7" hidden="1">DOE!#REF!</definedName>
    <definedName name="Z_11FF9BFF_9ECA_4631_9E35_D0D882176B80_.wvu.Rows" localSheetId="9" hidden="1">DOF!#REF!</definedName>
    <definedName name="Z_11FF9BFF_9ECA_4631_9E35_D0D882176B80_.wvu.Rows" localSheetId="11" hidden="1">DOH!#REF!</definedName>
    <definedName name="Z_11FF9BFF_9ECA_4631_9E35_D0D882176B80_.wvu.Rows" localSheetId="13" hidden="1">DOJ!#REF!</definedName>
    <definedName name="Z_11FF9BFF_9ECA_4631_9E35_D0D882176B80_.wvu.Rows" localSheetId="14" hidden="1">DOLE!#REF!</definedName>
    <definedName name="Z_11FF9BFF_9ECA_4631_9E35_D0D882176B80_.wvu.Rows" localSheetId="17" hidden="1">DOST!#REF!</definedName>
    <definedName name="Z_11FF9BFF_9ECA_4631_9E35_D0D882176B80_.wvu.Rows" localSheetId="19" hidden="1">DOT!#REF!</definedName>
    <definedName name="Z_11FF9BFF_9ECA_4631_9E35_D0D882176B80_.wvu.Rows" localSheetId="21" hidden="1">DOTC!#REF!</definedName>
    <definedName name="Z_11FF9BFF_9ECA_4631_9E35_D0D882176B80_.wvu.Rows" localSheetId="16" hidden="1">DPWH!#REF!</definedName>
    <definedName name="Z_11FF9BFF_9ECA_4631_9E35_D0D882176B80_.wvu.Rows" localSheetId="18" hidden="1">DSWD!#REF!</definedName>
    <definedName name="Z_11FF9BFF_9ECA_4631_9E35_D0D882176B80_.wvu.Rows" localSheetId="20" hidden="1">DTI!#REF!</definedName>
    <definedName name="Z_11FF9BFF_9ECA_4631_9E35_D0D882176B80_.wvu.Rows" localSheetId="26" hidden="1">JLEC!#REF!</definedName>
    <definedName name="Z_11FF9BFF_9ECA_4631_9E35_D0D882176B80_.wvu.Rows" localSheetId="27" hidden="1">JUDICIARY!#REF!</definedName>
    <definedName name="Z_11FF9BFF_9ECA_4631_9E35_D0D882176B80_.wvu.Rows" localSheetId="22" hidden="1">NEDA!#REF!</definedName>
    <definedName name="Z_11FF9BFF_9ECA_4631_9E35_D0D882176B80_.wvu.Rows" localSheetId="24" hidden="1">OEO!#REF!</definedName>
    <definedName name="Z_11FF9BFF_9ECA_4631_9E35_D0D882176B80_.wvu.Rows" localSheetId="31" hidden="1">OMB!#REF!</definedName>
    <definedName name="Z_11FF9BFF_9ECA_4631_9E35_D0D882176B80_.wvu.Rows" localSheetId="1" hidden="1">OP!#REF!</definedName>
    <definedName name="Z_11FF9BFF_9ECA_4631_9E35_D0D882176B80_.wvu.Rows" localSheetId="2" hidden="1">OVP!#REF!</definedName>
    <definedName name="Z_11FF9BFF_9ECA_4631_9E35_D0D882176B80_.wvu.Rows" localSheetId="23" hidden="1">PCOO!#REF!</definedName>
    <definedName name="Z_134DAEFF_3C8E_4427_9126_56EFF7D49C7D_.wvu.Cols" localSheetId="33" hidden="1">'By SUCs'!#REF!</definedName>
    <definedName name="Z_134DAEFF_3C8E_4427_9126_56EFF7D49C7D_.wvu.PrintArea" localSheetId="25" hidden="1">ARMM!$A$10:$A$18</definedName>
    <definedName name="Z_134DAEFF_3C8E_4427_9126_56EFF7D49C7D_.wvu.PrintArea" localSheetId="32" hidden="1">CHR!$A$10:$A$18</definedName>
    <definedName name="Z_134DAEFF_3C8E_4427_9126_56EFF7D49C7D_.wvu.PrintArea" localSheetId="29" hidden="1">COA!$A$10:$A$18</definedName>
    <definedName name="Z_134DAEFF_3C8E_4427_9126_56EFF7D49C7D_.wvu.PrintArea" localSheetId="30" hidden="1">COMELEC!$A$10:$A$18</definedName>
    <definedName name="Z_134DAEFF_3C8E_4427_9126_56EFF7D49C7D_.wvu.PrintArea" localSheetId="0" hidden="1">CONGRESS!$A$10:$A$63</definedName>
    <definedName name="Z_134DAEFF_3C8E_4427_9126_56EFF7D49C7D_.wvu.PrintArea" localSheetId="28" hidden="1">CSC!$A$10:$A$36</definedName>
    <definedName name="Z_134DAEFF_3C8E_4427_9126_56EFF7D49C7D_.wvu.PrintArea" localSheetId="4" hidden="1">DA!$A$10:$A$120</definedName>
    <definedName name="Z_134DAEFF_3C8E_4427_9126_56EFF7D49C7D_.wvu.PrintArea" localSheetId="3" hidden="1">DAR!$A$10:$A$18</definedName>
    <definedName name="Z_134DAEFF_3C8E_4427_9126_56EFF7D49C7D_.wvu.PrintArea" localSheetId="5" hidden="1">DBM!$A$10:$A$36</definedName>
    <definedName name="Z_134DAEFF_3C8E_4427_9126_56EFF7D49C7D_.wvu.PrintArea" localSheetId="8" hidden="1">DENR!$A$10:$A$72</definedName>
    <definedName name="Z_134DAEFF_3C8E_4427_9126_56EFF7D49C7D_.wvu.PrintArea" localSheetId="6" hidden="1">DEPED!$A$10:$A$74</definedName>
    <definedName name="Z_134DAEFF_3C8E_4427_9126_56EFF7D49C7D_.wvu.PrintArea" localSheetId="10" hidden="1">DFA!$A$10:$A$54</definedName>
    <definedName name="Z_134DAEFF_3C8E_4427_9126_56EFF7D49C7D_.wvu.PrintArea" localSheetId="12" hidden="1">DILG!$A$10:$A$83</definedName>
    <definedName name="Z_134DAEFF_3C8E_4427_9126_56EFF7D49C7D_.wvu.PrintArea" localSheetId="15" hidden="1">DND!$A$10:$A$108</definedName>
    <definedName name="Z_134DAEFF_3C8E_4427_9126_56EFF7D49C7D_.wvu.PrintArea" localSheetId="7" hidden="1">DOE!$A$10:$A$18</definedName>
    <definedName name="Z_134DAEFF_3C8E_4427_9126_56EFF7D49C7D_.wvu.PrintArea" localSheetId="9" hidden="1">DOF!$A$10:$A$117</definedName>
    <definedName name="Z_134DAEFF_3C8E_4427_9126_56EFF7D49C7D_.wvu.PrintArea" localSheetId="11" hidden="1">DOH!$A$10:$A$47</definedName>
    <definedName name="Z_134DAEFF_3C8E_4427_9126_56EFF7D49C7D_.wvu.PrintArea" localSheetId="13" hidden="1">DOJ!$A$10:$A$110</definedName>
    <definedName name="Z_134DAEFF_3C8E_4427_9126_56EFF7D49C7D_.wvu.PrintArea" localSheetId="14" hidden="1">DOLE!$A$10:$A$102</definedName>
    <definedName name="Z_134DAEFF_3C8E_4427_9126_56EFF7D49C7D_.wvu.PrintArea" localSheetId="17" hidden="1">DOST!$A$10:$A$201</definedName>
    <definedName name="Z_134DAEFF_3C8E_4427_9126_56EFF7D49C7D_.wvu.PrintArea" localSheetId="19" hidden="1">DOT!$A$10:$A$45</definedName>
    <definedName name="Z_134DAEFF_3C8E_4427_9126_56EFF7D49C7D_.wvu.PrintArea" localSheetId="21" hidden="1">DOTC!$A$10:$A$84</definedName>
    <definedName name="Z_134DAEFF_3C8E_4427_9126_56EFF7D49C7D_.wvu.PrintArea" localSheetId="16" hidden="1">DPWH!$A$10:$A$19</definedName>
    <definedName name="Z_134DAEFF_3C8E_4427_9126_56EFF7D49C7D_.wvu.PrintArea" localSheetId="18" hidden="1">DSWD!$A$10:$A$65</definedName>
    <definedName name="Z_134DAEFF_3C8E_4427_9126_56EFF7D49C7D_.wvu.PrintArea" localSheetId="20" hidden="1">DTI!$A$10:$A$74</definedName>
    <definedName name="Z_134DAEFF_3C8E_4427_9126_56EFF7D49C7D_.wvu.PrintArea" localSheetId="26" hidden="1">JLEC!$A$10:$A$18</definedName>
    <definedName name="Z_134DAEFF_3C8E_4427_9126_56EFF7D49C7D_.wvu.PrintArea" localSheetId="27" hidden="1">JUDICIARY!$A$10:$A$63</definedName>
    <definedName name="Z_134DAEFF_3C8E_4427_9126_56EFF7D49C7D_.wvu.PrintArea" localSheetId="22" hidden="1">NEDA!$A$10:$A$81</definedName>
    <definedName name="Z_134DAEFF_3C8E_4427_9126_56EFF7D49C7D_.wvu.PrintArea" localSheetId="24" hidden="1">OEO!$A$10:$A$335</definedName>
    <definedName name="Z_134DAEFF_3C8E_4427_9126_56EFF7D49C7D_.wvu.PrintArea" localSheetId="31" hidden="1">OMB!$A$10:$A$18</definedName>
    <definedName name="Z_134DAEFF_3C8E_4427_9126_56EFF7D49C7D_.wvu.PrintArea" localSheetId="1" hidden="1">OP!$A$10:$A$18</definedName>
    <definedName name="Z_134DAEFF_3C8E_4427_9126_56EFF7D49C7D_.wvu.PrintArea" localSheetId="2" hidden="1">OVP!$A$10:$A$18</definedName>
    <definedName name="Z_134DAEFF_3C8E_4427_9126_56EFF7D49C7D_.wvu.PrintArea" localSheetId="23" hidden="1">PCOO!$A$10:$A$81</definedName>
    <definedName name="Z_32FD75DB_C2F2_4294_8471_7CD68BDD134B_.wvu.Rows" localSheetId="33" hidden="1">'By SUCs'!#REF!,'By SUCs'!#REF!,'By SUCs'!#REF!,'By SUCs'!#REF!,'By SUCs'!#REF!,'By SUCs'!#REF!,'By SUCs'!#REF!,'By SUCs'!#REF!,'By SUCs'!#REF!,'By SUCs'!#REF!,'By SUCs'!#REF!,'By SUCs'!#REF!,'By SUCs'!$1383:$1383,'By SUCs'!$1385:$1385,'By SUCs'!#REF!</definedName>
    <definedName name="Z_52DB2CC6_F237_4CDF_A607_AE6C8C821F75_.wvu.PrintArea" localSheetId="25" hidden="1">ARMM!$A$10:$A$18</definedName>
    <definedName name="Z_52DB2CC6_F237_4CDF_A607_AE6C8C821F75_.wvu.PrintArea" localSheetId="32" hidden="1">CHR!$A$10:$A$18</definedName>
    <definedName name="Z_52DB2CC6_F237_4CDF_A607_AE6C8C821F75_.wvu.PrintArea" localSheetId="29" hidden="1">COA!$A$10:$A$18</definedName>
    <definedName name="Z_52DB2CC6_F237_4CDF_A607_AE6C8C821F75_.wvu.PrintArea" localSheetId="30" hidden="1">COMELEC!$A$10:$A$18</definedName>
    <definedName name="Z_52DB2CC6_F237_4CDF_A607_AE6C8C821F75_.wvu.PrintArea" localSheetId="0" hidden="1">CONGRESS!$A$10:$A$63</definedName>
    <definedName name="Z_52DB2CC6_F237_4CDF_A607_AE6C8C821F75_.wvu.PrintArea" localSheetId="28" hidden="1">CSC!$A$10:$A$36</definedName>
    <definedName name="Z_52DB2CC6_F237_4CDF_A607_AE6C8C821F75_.wvu.PrintArea" localSheetId="4" hidden="1">DA!$A$10:$A$120</definedName>
    <definedName name="Z_52DB2CC6_F237_4CDF_A607_AE6C8C821F75_.wvu.PrintArea" localSheetId="3" hidden="1">DAR!$A$10:$A$18</definedName>
    <definedName name="Z_52DB2CC6_F237_4CDF_A607_AE6C8C821F75_.wvu.PrintArea" localSheetId="5" hidden="1">DBM!$A$10:$A$36</definedName>
    <definedName name="Z_52DB2CC6_F237_4CDF_A607_AE6C8C821F75_.wvu.PrintArea" localSheetId="8" hidden="1">DENR!$A$10:$A$72</definedName>
    <definedName name="Z_52DB2CC6_F237_4CDF_A607_AE6C8C821F75_.wvu.PrintArea" localSheetId="6" hidden="1">DEPED!$A$10:$A$74</definedName>
    <definedName name="Z_52DB2CC6_F237_4CDF_A607_AE6C8C821F75_.wvu.PrintArea" localSheetId="10" hidden="1">DFA!$A$10:$A$54</definedName>
    <definedName name="Z_52DB2CC6_F237_4CDF_A607_AE6C8C821F75_.wvu.PrintArea" localSheetId="12" hidden="1">DILG!$A$10:$A$83</definedName>
    <definedName name="Z_52DB2CC6_F237_4CDF_A607_AE6C8C821F75_.wvu.PrintArea" localSheetId="15" hidden="1">DND!$A$10:$A$108</definedName>
    <definedName name="Z_52DB2CC6_F237_4CDF_A607_AE6C8C821F75_.wvu.PrintArea" localSheetId="7" hidden="1">DOE!$A$10:$A$18</definedName>
    <definedName name="Z_52DB2CC6_F237_4CDF_A607_AE6C8C821F75_.wvu.PrintArea" localSheetId="9" hidden="1">DOF!$A$10:$A$117</definedName>
    <definedName name="Z_52DB2CC6_F237_4CDF_A607_AE6C8C821F75_.wvu.PrintArea" localSheetId="11" hidden="1">DOH!$A$10:$A$47</definedName>
    <definedName name="Z_52DB2CC6_F237_4CDF_A607_AE6C8C821F75_.wvu.PrintArea" localSheetId="13" hidden="1">DOJ!$A$10:$A$110</definedName>
    <definedName name="Z_52DB2CC6_F237_4CDF_A607_AE6C8C821F75_.wvu.PrintArea" localSheetId="14" hidden="1">DOLE!$A$10:$A$102</definedName>
    <definedName name="Z_52DB2CC6_F237_4CDF_A607_AE6C8C821F75_.wvu.PrintArea" localSheetId="17" hidden="1">DOST!$A$10:$A$201</definedName>
    <definedName name="Z_52DB2CC6_F237_4CDF_A607_AE6C8C821F75_.wvu.PrintArea" localSheetId="19" hidden="1">DOT!$A$10:$A$45</definedName>
    <definedName name="Z_52DB2CC6_F237_4CDF_A607_AE6C8C821F75_.wvu.PrintArea" localSheetId="21" hidden="1">DOTC!$A$10:$A$84</definedName>
    <definedName name="Z_52DB2CC6_F237_4CDF_A607_AE6C8C821F75_.wvu.PrintArea" localSheetId="16" hidden="1">DPWH!$A$10:$A$19</definedName>
    <definedName name="Z_52DB2CC6_F237_4CDF_A607_AE6C8C821F75_.wvu.PrintArea" localSheetId="18" hidden="1">DSWD!$A$10:$A$65</definedName>
    <definedName name="Z_52DB2CC6_F237_4CDF_A607_AE6C8C821F75_.wvu.PrintArea" localSheetId="20" hidden="1">DTI!$A$10:$A$74</definedName>
    <definedName name="Z_52DB2CC6_F237_4CDF_A607_AE6C8C821F75_.wvu.PrintArea" localSheetId="26" hidden="1">JLEC!$A$10:$A$18</definedName>
    <definedName name="Z_52DB2CC6_F237_4CDF_A607_AE6C8C821F75_.wvu.PrintArea" localSheetId="27" hidden="1">JUDICIARY!$A$10:$A$63</definedName>
    <definedName name="Z_52DB2CC6_F237_4CDF_A607_AE6C8C821F75_.wvu.PrintArea" localSheetId="22" hidden="1">NEDA!$A$10:$A$81</definedName>
    <definedName name="Z_52DB2CC6_F237_4CDF_A607_AE6C8C821F75_.wvu.PrintArea" localSheetId="24" hidden="1">OEO!$A$10:$A$335</definedName>
    <definedName name="Z_52DB2CC6_F237_4CDF_A607_AE6C8C821F75_.wvu.PrintArea" localSheetId="31" hidden="1">OMB!$A$10:$A$18</definedName>
    <definedName name="Z_52DB2CC6_F237_4CDF_A607_AE6C8C821F75_.wvu.PrintArea" localSheetId="1" hidden="1">OP!$A$10:$A$18</definedName>
    <definedName name="Z_52DB2CC6_F237_4CDF_A607_AE6C8C821F75_.wvu.PrintArea" localSheetId="2" hidden="1">OVP!$A$10:$A$18</definedName>
    <definedName name="Z_52DB2CC6_F237_4CDF_A607_AE6C8C821F75_.wvu.PrintArea" localSheetId="23" hidden="1">PCOO!$A$10:$A$81</definedName>
    <definedName name="Z_52DB2CC6_F237_4CDF_A607_AE6C8C821F75_.wvu.PrintTitles" localSheetId="25" hidden="1">ARMM!$1:$9</definedName>
    <definedName name="Z_52DB2CC6_F237_4CDF_A607_AE6C8C821F75_.wvu.PrintTitles" localSheetId="32" hidden="1">CHR!$1:$9</definedName>
    <definedName name="Z_52DB2CC6_F237_4CDF_A607_AE6C8C821F75_.wvu.PrintTitles" localSheetId="29" hidden="1">COA!$1:$9</definedName>
    <definedName name="Z_52DB2CC6_F237_4CDF_A607_AE6C8C821F75_.wvu.PrintTitles" localSheetId="30" hidden="1">COMELEC!$1:$9</definedName>
    <definedName name="Z_52DB2CC6_F237_4CDF_A607_AE6C8C821F75_.wvu.PrintTitles" localSheetId="0" hidden="1">CONGRESS!$1:$9</definedName>
    <definedName name="Z_52DB2CC6_F237_4CDF_A607_AE6C8C821F75_.wvu.PrintTitles" localSheetId="28" hidden="1">CSC!$1:$9</definedName>
    <definedName name="Z_52DB2CC6_F237_4CDF_A607_AE6C8C821F75_.wvu.PrintTitles" localSheetId="4" hidden="1">DA!$1:$9</definedName>
    <definedName name="Z_52DB2CC6_F237_4CDF_A607_AE6C8C821F75_.wvu.PrintTitles" localSheetId="3" hidden="1">DAR!$1:$9</definedName>
    <definedName name="Z_52DB2CC6_F237_4CDF_A607_AE6C8C821F75_.wvu.PrintTitles" localSheetId="5" hidden="1">DBM!$1:$9</definedName>
    <definedName name="Z_52DB2CC6_F237_4CDF_A607_AE6C8C821F75_.wvu.PrintTitles" localSheetId="8" hidden="1">DENR!$1:$9</definedName>
    <definedName name="Z_52DB2CC6_F237_4CDF_A607_AE6C8C821F75_.wvu.PrintTitles" localSheetId="6" hidden="1">DEPED!$1:$9</definedName>
    <definedName name="Z_52DB2CC6_F237_4CDF_A607_AE6C8C821F75_.wvu.PrintTitles" localSheetId="10" hidden="1">DFA!$1:$9</definedName>
    <definedName name="Z_52DB2CC6_F237_4CDF_A607_AE6C8C821F75_.wvu.PrintTitles" localSheetId="12" hidden="1">DILG!$1:$9</definedName>
    <definedName name="Z_52DB2CC6_F237_4CDF_A607_AE6C8C821F75_.wvu.PrintTitles" localSheetId="15" hidden="1">DND!$1:$9</definedName>
    <definedName name="Z_52DB2CC6_F237_4CDF_A607_AE6C8C821F75_.wvu.PrintTitles" localSheetId="7" hidden="1">DOE!$1:$9</definedName>
    <definedName name="Z_52DB2CC6_F237_4CDF_A607_AE6C8C821F75_.wvu.PrintTitles" localSheetId="9" hidden="1">DOF!$1:$9</definedName>
    <definedName name="Z_52DB2CC6_F237_4CDF_A607_AE6C8C821F75_.wvu.PrintTitles" localSheetId="11" hidden="1">DOH!$1:$9</definedName>
    <definedName name="Z_52DB2CC6_F237_4CDF_A607_AE6C8C821F75_.wvu.PrintTitles" localSheetId="13" hidden="1">DOJ!$1:$9</definedName>
    <definedName name="Z_52DB2CC6_F237_4CDF_A607_AE6C8C821F75_.wvu.PrintTitles" localSheetId="14" hidden="1">DOLE!$1:$9</definedName>
    <definedName name="Z_52DB2CC6_F237_4CDF_A607_AE6C8C821F75_.wvu.PrintTitles" localSheetId="17" hidden="1">DOST!$1:$9</definedName>
    <definedName name="Z_52DB2CC6_F237_4CDF_A607_AE6C8C821F75_.wvu.PrintTitles" localSheetId="19" hidden="1">DOT!$1:$9</definedName>
    <definedName name="Z_52DB2CC6_F237_4CDF_A607_AE6C8C821F75_.wvu.PrintTitles" localSheetId="21" hidden="1">DOTC!$1:$9</definedName>
    <definedName name="Z_52DB2CC6_F237_4CDF_A607_AE6C8C821F75_.wvu.PrintTitles" localSheetId="16" hidden="1">DPWH!$1:$9</definedName>
    <definedName name="Z_52DB2CC6_F237_4CDF_A607_AE6C8C821F75_.wvu.PrintTitles" localSheetId="18" hidden="1">DSWD!$1:$9</definedName>
    <definedName name="Z_52DB2CC6_F237_4CDF_A607_AE6C8C821F75_.wvu.PrintTitles" localSheetId="20" hidden="1">DTI!$1:$9</definedName>
    <definedName name="Z_52DB2CC6_F237_4CDF_A607_AE6C8C821F75_.wvu.PrintTitles" localSheetId="26" hidden="1">JLEC!$1:$9</definedName>
    <definedName name="Z_52DB2CC6_F237_4CDF_A607_AE6C8C821F75_.wvu.PrintTitles" localSheetId="27" hidden="1">JUDICIARY!$1:$9</definedName>
    <definedName name="Z_52DB2CC6_F237_4CDF_A607_AE6C8C821F75_.wvu.PrintTitles" localSheetId="22" hidden="1">NEDA!$1:$9</definedName>
    <definedName name="Z_52DB2CC6_F237_4CDF_A607_AE6C8C821F75_.wvu.PrintTitles" localSheetId="24" hidden="1">OEO!$1:$9</definedName>
    <definedName name="Z_52DB2CC6_F237_4CDF_A607_AE6C8C821F75_.wvu.PrintTitles" localSheetId="31" hidden="1">OMB!$1:$9</definedName>
    <definedName name="Z_52DB2CC6_F237_4CDF_A607_AE6C8C821F75_.wvu.PrintTitles" localSheetId="1" hidden="1">OP!$1:$9</definedName>
    <definedName name="Z_52DB2CC6_F237_4CDF_A607_AE6C8C821F75_.wvu.PrintTitles" localSheetId="2" hidden="1">OVP!$1:$9</definedName>
    <definedName name="Z_52DB2CC6_F237_4CDF_A607_AE6C8C821F75_.wvu.PrintTitles" localSheetId="23" hidden="1">PCOO!$1:$9</definedName>
    <definedName name="Z_59D23A0A_7175_4C9A_951F_AD46415E8ED7_.wvu.PrintArea" localSheetId="25" hidden="1">ARMM!$A$10:$A$18</definedName>
    <definedName name="Z_59D23A0A_7175_4C9A_951F_AD46415E8ED7_.wvu.PrintArea" localSheetId="32" hidden="1">CHR!$A$10:$A$18</definedName>
    <definedName name="Z_59D23A0A_7175_4C9A_951F_AD46415E8ED7_.wvu.PrintArea" localSheetId="29" hidden="1">COA!$A$10:$A$18</definedName>
    <definedName name="Z_59D23A0A_7175_4C9A_951F_AD46415E8ED7_.wvu.PrintArea" localSheetId="30" hidden="1">COMELEC!$A$10:$A$18</definedName>
    <definedName name="Z_59D23A0A_7175_4C9A_951F_AD46415E8ED7_.wvu.PrintArea" localSheetId="0" hidden="1">CONGRESS!$A$10:$A$63</definedName>
    <definedName name="Z_59D23A0A_7175_4C9A_951F_AD46415E8ED7_.wvu.PrintArea" localSheetId="28" hidden="1">CSC!$A$10:$A$36</definedName>
    <definedName name="Z_59D23A0A_7175_4C9A_951F_AD46415E8ED7_.wvu.PrintArea" localSheetId="4" hidden="1">DA!$A$10:$A$120</definedName>
    <definedName name="Z_59D23A0A_7175_4C9A_951F_AD46415E8ED7_.wvu.PrintArea" localSheetId="3" hidden="1">DAR!$A$10:$A$18</definedName>
    <definedName name="Z_59D23A0A_7175_4C9A_951F_AD46415E8ED7_.wvu.PrintArea" localSheetId="5" hidden="1">DBM!$A$10:$A$36</definedName>
    <definedName name="Z_59D23A0A_7175_4C9A_951F_AD46415E8ED7_.wvu.PrintArea" localSheetId="8" hidden="1">DENR!$A$10:$A$72</definedName>
    <definedName name="Z_59D23A0A_7175_4C9A_951F_AD46415E8ED7_.wvu.PrintArea" localSheetId="6" hidden="1">DEPED!$A$10:$A$74</definedName>
    <definedName name="Z_59D23A0A_7175_4C9A_951F_AD46415E8ED7_.wvu.PrintArea" localSheetId="10" hidden="1">DFA!$A$10:$A$54</definedName>
    <definedName name="Z_59D23A0A_7175_4C9A_951F_AD46415E8ED7_.wvu.PrintArea" localSheetId="12" hidden="1">DILG!$A$10:$A$83</definedName>
    <definedName name="Z_59D23A0A_7175_4C9A_951F_AD46415E8ED7_.wvu.PrintArea" localSheetId="15" hidden="1">DND!$A$10:$A$108</definedName>
    <definedName name="Z_59D23A0A_7175_4C9A_951F_AD46415E8ED7_.wvu.PrintArea" localSheetId="7" hidden="1">DOE!$A$10:$A$18</definedName>
    <definedName name="Z_59D23A0A_7175_4C9A_951F_AD46415E8ED7_.wvu.PrintArea" localSheetId="9" hidden="1">DOF!$A$10:$A$117</definedName>
    <definedName name="Z_59D23A0A_7175_4C9A_951F_AD46415E8ED7_.wvu.PrintArea" localSheetId="11" hidden="1">DOH!$A$10:$A$47</definedName>
    <definedName name="Z_59D23A0A_7175_4C9A_951F_AD46415E8ED7_.wvu.PrintArea" localSheetId="13" hidden="1">DOJ!$A$10:$A$110</definedName>
    <definedName name="Z_59D23A0A_7175_4C9A_951F_AD46415E8ED7_.wvu.PrintArea" localSheetId="14" hidden="1">DOLE!$A$10:$A$102</definedName>
    <definedName name="Z_59D23A0A_7175_4C9A_951F_AD46415E8ED7_.wvu.PrintArea" localSheetId="17" hidden="1">DOST!$A$10:$A$201</definedName>
    <definedName name="Z_59D23A0A_7175_4C9A_951F_AD46415E8ED7_.wvu.PrintArea" localSheetId="19" hidden="1">DOT!$A$10:$A$45</definedName>
    <definedName name="Z_59D23A0A_7175_4C9A_951F_AD46415E8ED7_.wvu.PrintArea" localSheetId="21" hidden="1">DOTC!$A$10:$A$84</definedName>
    <definedName name="Z_59D23A0A_7175_4C9A_951F_AD46415E8ED7_.wvu.PrintArea" localSheetId="16" hidden="1">DPWH!$A$10:$A$19</definedName>
    <definedName name="Z_59D23A0A_7175_4C9A_951F_AD46415E8ED7_.wvu.PrintArea" localSheetId="18" hidden="1">DSWD!$A$10:$A$65</definedName>
    <definedName name="Z_59D23A0A_7175_4C9A_951F_AD46415E8ED7_.wvu.PrintArea" localSheetId="20" hidden="1">DTI!$A$10:$A$74</definedName>
    <definedName name="Z_59D23A0A_7175_4C9A_951F_AD46415E8ED7_.wvu.PrintArea" localSheetId="26" hidden="1">JLEC!$A$10:$A$18</definedName>
    <definedName name="Z_59D23A0A_7175_4C9A_951F_AD46415E8ED7_.wvu.PrintArea" localSheetId="27" hidden="1">JUDICIARY!$A$10:$A$63</definedName>
    <definedName name="Z_59D23A0A_7175_4C9A_951F_AD46415E8ED7_.wvu.PrintArea" localSheetId="22" hidden="1">NEDA!$A$10:$A$81</definedName>
    <definedName name="Z_59D23A0A_7175_4C9A_951F_AD46415E8ED7_.wvu.PrintArea" localSheetId="24" hidden="1">OEO!$A$10:$A$335</definedName>
    <definedName name="Z_59D23A0A_7175_4C9A_951F_AD46415E8ED7_.wvu.PrintArea" localSheetId="31" hidden="1">OMB!$A$10:$A$18</definedName>
    <definedName name="Z_59D23A0A_7175_4C9A_951F_AD46415E8ED7_.wvu.PrintArea" localSheetId="1" hidden="1">OP!$A$10:$A$18</definedName>
    <definedName name="Z_59D23A0A_7175_4C9A_951F_AD46415E8ED7_.wvu.PrintArea" localSheetId="2" hidden="1">OVP!$A$10:$A$18</definedName>
    <definedName name="Z_59D23A0A_7175_4C9A_951F_AD46415E8ED7_.wvu.PrintArea" localSheetId="23" hidden="1">PCOO!$A$10:$A$81</definedName>
    <definedName name="Z_59D23A0A_7175_4C9A_951F_AD46415E8ED7_.wvu.PrintTitles" localSheetId="25" hidden="1">ARMM!$1:$9</definedName>
    <definedName name="Z_59D23A0A_7175_4C9A_951F_AD46415E8ED7_.wvu.PrintTitles" localSheetId="32" hidden="1">CHR!$1:$9</definedName>
    <definedName name="Z_59D23A0A_7175_4C9A_951F_AD46415E8ED7_.wvu.PrintTitles" localSheetId="29" hidden="1">COA!$1:$9</definedName>
    <definedName name="Z_59D23A0A_7175_4C9A_951F_AD46415E8ED7_.wvu.PrintTitles" localSheetId="30" hidden="1">COMELEC!$1:$9</definedName>
    <definedName name="Z_59D23A0A_7175_4C9A_951F_AD46415E8ED7_.wvu.PrintTitles" localSheetId="0" hidden="1">CONGRESS!$1:$9</definedName>
    <definedName name="Z_59D23A0A_7175_4C9A_951F_AD46415E8ED7_.wvu.PrintTitles" localSheetId="28" hidden="1">CSC!$1:$9</definedName>
    <definedName name="Z_59D23A0A_7175_4C9A_951F_AD46415E8ED7_.wvu.PrintTitles" localSheetId="4" hidden="1">DA!$1:$9</definedName>
    <definedName name="Z_59D23A0A_7175_4C9A_951F_AD46415E8ED7_.wvu.PrintTitles" localSheetId="3" hidden="1">DAR!$1:$9</definedName>
    <definedName name="Z_59D23A0A_7175_4C9A_951F_AD46415E8ED7_.wvu.PrintTitles" localSheetId="5" hidden="1">DBM!$1:$9</definedName>
    <definedName name="Z_59D23A0A_7175_4C9A_951F_AD46415E8ED7_.wvu.PrintTitles" localSheetId="8" hidden="1">DENR!$1:$9</definedName>
    <definedName name="Z_59D23A0A_7175_4C9A_951F_AD46415E8ED7_.wvu.PrintTitles" localSheetId="6" hidden="1">DEPED!$1:$9</definedName>
    <definedName name="Z_59D23A0A_7175_4C9A_951F_AD46415E8ED7_.wvu.PrintTitles" localSheetId="10" hidden="1">DFA!$1:$9</definedName>
    <definedName name="Z_59D23A0A_7175_4C9A_951F_AD46415E8ED7_.wvu.PrintTitles" localSheetId="12" hidden="1">DILG!$1:$9</definedName>
    <definedName name="Z_59D23A0A_7175_4C9A_951F_AD46415E8ED7_.wvu.PrintTitles" localSheetId="15" hidden="1">DND!$1:$9</definedName>
    <definedName name="Z_59D23A0A_7175_4C9A_951F_AD46415E8ED7_.wvu.PrintTitles" localSheetId="7" hidden="1">DOE!$1:$9</definedName>
    <definedName name="Z_59D23A0A_7175_4C9A_951F_AD46415E8ED7_.wvu.PrintTitles" localSheetId="9" hidden="1">DOF!$1:$9</definedName>
    <definedName name="Z_59D23A0A_7175_4C9A_951F_AD46415E8ED7_.wvu.PrintTitles" localSheetId="11" hidden="1">DOH!$1:$9</definedName>
    <definedName name="Z_59D23A0A_7175_4C9A_951F_AD46415E8ED7_.wvu.PrintTitles" localSheetId="13" hidden="1">DOJ!$1:$9</definedName>
    <definedName name="Z_59D23A0A_7175_4C9A_951F_AD46415E8ED7_.wvu.PrintTitles" localSheetId="14" hidden="1">DOLE!$1:$9</definedName>
    <definedName name="Z_59D23A0A_7175_4C9A_951F_AD46415E8ED7_.wvu.PrintTitles" localSheetId="17" hidden="1">DOST!$1:$9</definedName>
    <definedName name="Z_59D23A0A_7175_4C9A_951F_AD46415E8ED7_.wvu.PrintTitles" localSheetId="19" hidden="1">DOT!$1:$9</definedName>
    <definedName name="Z_59D23A0A_7175_4C9A_951F_AD46415E8ED7_.wvu.PrintTitles" localSheetId="21" hidden="1">DOTC!$1:$9</definedName>
    <definedName name="Z_59D23A0A_7175_4C9A_951F_AD46415E8ED7_.wvu.PrintTitles" localSheetId="16" hidden="1">DPWH!$1:$9</definedName>
    <definedName name="Z_59D23A0A_7175_4C9A_951F_AD46415E8ED7_.wvu.PrintTitles" localSheetId="18" hidden="1">DSWD!$1:$9</definedName>
    <definedName name="Z_59D23A0A_7175_4C9A_951F_AD46415E8ED7_.wvu.PrintTitles" localSheetId="20" hidden="1">DTI!$1:$9</definedName>
    <definedName name="Z_59D23A0A_7175_4C9A_951F_AD46415E8ED7_.wvu.PrintTitles" localSheetId="26" hidden="1">JLEC!$1:$9</definedName>
    <definedName name="Z_59D23A0A_7175_4C9A_951F_AD46415E8ED7_.wvu.PrintTitles" localSheetId="27" hidden="1">JUDICIARY!$1:$9</definedName>
    <definedName name="Z_59D23A0A_7175_4C9A_951F_AD46415E8ED7_.wvu.PrintTitles" localSheetId="22" hidden="1">NEDA!$1:$9</definedName>
    <definedName name="Z_59D23A0A_7175_4C9A_951F_AD46415E8ED7_.wvu.PrintTitles" localSheetId="24" hidden="1">OEO!$1:$9</definedName>
    <definedName name="Z_59D23A0A_7175_4C9A_951F_AD46415E8ED7_.wvu.PrintTitles" localSheetId="31" hidden="1">OMB!$1:$9</definedName>
    <definedName name="Z_59D23A0A_7175_4C9A_951F_AD46415E8ED7_.wvu.PrintTitles" localSheetId="1" hidden="1">OP!$1:$9</definedName>
    <definedName name="Z_59D23A0A_7175_4C9A_951F_AD46415E8ED7_.wvu.PrintTitles" localSheetId="2" hidden="1">OVP!$1:$9</definedName>
    <definedName name="Z_59D23A0A_7175_4C9A_951F_AD46415E8ED7_.wvu.PrintTitles" localSheetId="23" hidden="1">PCOO!$1:$9</definedName>
    <definedName name="Z_5EB30BC1_E594_4574_9783_A509468E5052_.wvu.Cols" localSheetId="33" hidden="1">'By SUCs'!$B:$D</definedName>
    <definedName name="Z_5EB30BC1_E594_4574_9783_A509468E5052_.wvu.PrintArea" localSheetId="25" hidden="1">ARMM!$A$1:$F$18</definedName>
    <definedName name="Z_5EB30BC1_E594_4574_9783_A509468E5052_.wvu.PrintArea" localSheetId="33" hidden="1">'By SUCs'!$A$1:$H$1184</definedName>
    <definedName name="Z_5EB30BC1_E594_4574_9783_A509468E5052_.wvu.PrintArea" localSheetId="32" hidden="1">CHR!$A$1:$F$18</definedName>
    <definedName name="Z_5EB30BC1_E594_4574_9783_A509468E5052_.wvu.PrintArea" localSheetId="29" hidden="1">COA!$A$1:$F$18</definedName>
    <definedName name="Z_5EB30BC1_E594_4574_9783_A509468E5052_.wvu.PrintArea" localSheetId="30" hidden="1">COMELEC!$A$1:$F$18</definedName>
    <definedName name="Z_5EB30BC1_E594_4574_9783_A509468E5052_.wvu.PrintArea" localSheetId="0" hidden="1">CONGRESS!$A$1:$F$63</definedName>
    <definedName name="Z_5EB30BC1_E594_4574_9783_A509468E5052_.wvu.PrintArea" localSheetId="28" hidden="1">CSC!$A$1:$F$36</definedName>
    <definedName name="Z_5EB30BC1_E594_4574_9783_A509468E5052_.wvu.PrintArea" localSheetId="4" hidden="1">DA!$A$1:$F$120</definedName>
    <definedName name="Z_5EB30BC1_E594_4574_9783_A509468E5052_.wvu.PrintArea" localSheetId="3" hidden="1">DAR!$A$1:$F$18</definedName>
    <definedName name="Z_5EB30BC1_E594_4574_9783_A509468E5052_.wvu.PrintArea" localSheetId="5" hidden="1">DBM!$A$1:$F$36</definedName>
    <definedName name="Z_5EB30BC1_E594_4574_9783_A509468E5052_.wvu.PrintArea" localSheetId="8" hidden="1">DENR!$A$1:$F$72</definedName>
    <definedName name="Z_5EB30BC1_E594_4574_9783_A509468E5052_.wvu.PrintArea" localSheetId="6" hidden="1">DEPED!$A$1:$F$74</definedName>
    <definedName name="Z_5EB30BC1_E594_4574_9783_A509468E5052_.wvu.PrintArea" localSheetId="10" hidden="1">DFA!$A$1:$F$54</definedName>
    <definedName name="Z_5EB30BC1_E594_4574_9783_A509468E5052_.wvu.PrintArea" localSheetId="12" hidden="1">DILG!$A$1:$F$83</definedName>
    <definedName name="Z_5EB30BC1_E594_4574_9783_A509468E5052_.wvu.PrintArea" localSheetId="15" hidden="1">DND!$A$1:$F$108</definedName>
    <definedName name="Z_5EB30BC1_E594_4574_9783_A509468E5052_.wvu.PrintArea" localSheetId="7" hidden="1">DOE!$A$1:$F$18</definedName>
    <definedName name="Z_5EB30BC1_E594_4574_9783_A509468E5052_.wvu.PrintArea" localSheetId="9" hidden="1">DOF!$A$1:$F$117</definedName>
    <definedName name="Z_5EB30BC1_E594_4574_9783_A509468E5052_.wvu.PrintArea" localSheetId="11" hidden="1">DOH!$A$1:$F$47</definedName>
    <definedName name="Z_5EB30BC1_E594_4574_9783_A509468E5052_.wvu.PrintArea" localSheetId="13" hidden="1">DOJ!$A$1:$F$110</definedName>
    <definedName name="Z_5EB30BC1_E594_4574_9783_A509468E5052_.wvu.PrintArea" localSheetId="14" hidden="1">DOLE!$A$1:$F$102</definedName>
    <definedName name="Z_5EB30BC1_E594_4574_9783_A509468E5052_.wvu.PrintArea" localSheetId="17" hidden="1">DOST!$A$1:$F$201</definedName>
    <definedName name="Z_5EB30BC1_E594_4574_9783_A509468E5052_.wvu.PrintArea" localSheetId="19" hidden="1">DOT!$A$1:$F$45</definedName>
    <definedName name="Z_5EB30BC1_E594_4574_9783_A509468E5052_.wvu.PrintArea" localSheetId="21" hidden="1">DOTC!$A$1:$F$84</definedName>
    <definedName name="Z_5EB30BC1_E594_4574_9783_A509468E5052_.wvu.PrintArea" localSheetId="16" hidden="1">DPWH!$A$1:$F$19</definedName>
    <definedName name="Z_5EB30BC1_E594_4574_9783_A509468E5052_.wvu.PrintArea" localSheetId="18" hidden="1">DSWD!$A$1:$F$65</definedName>
    <definedName name="Z_5EB30BC1_E594_4574_9783_A509468E5052_.wvu.PrintArea" localSheetId="20" hidden="1">DTI!$A$1:$F$74</definedName>
    <definedName name="Z_5EB30BC1_E594_4574_9783_A509468E5052_.wvu.PrintArea" localSheetId="26" hidden="1">JLEC!$A$1:$F$18</definedName>
    <definedName name="Z_5EB30BC1_E594_4574_9783_A509468E5052_.wvu.PrintArea" localSheetId="27" hidden="1">JUDICIARY!$A$1:$F$63</definedName>
    <definedName name="Z_5EB30BC1_E594_4574_9783_A509468E5052_.wvu.PrintArea" localSheetId="22" hidden="1">NEDA!$A$1:$F$81</definedName>
    <definedName name="Z_5EB30BC1_E594_4574_9783_A509468E5052_.wvu.PrintArea" localSheetId="24" hidden="1">OEO!$A$1:$F$335</definedName>
    <definedName name="Z_5EB30BC1_E594_4574_9783_A509468E5052_.wvu.PrintArea" localSheetId="31" hidden="1">OMB!$A$1:$F$18</definedName>
    <definedName name="Z_5EB30BC1_E594_4574_9783_A509468E5052_.wvu.PrintArea" localSheetId="1" hidden="1">OP!$A$1:$F$18</definedName>
    <definedName name="Z_5EB30BC1_E594_4574_9783_A509468E5052_.wvu.PrintArea" localSheetId="2" hidden="1">OVP!$A$1:$F$18</definedName>
    <definedName name="Z_5EB30BC1_E594_4574_9783_A509468E5052_.wvu.PrintArea" localSheetId="23" hidden="1">PCOO!$A$1:$F$81</definedName>
    <definedName name="Z_5EB30BC1_E594_4574_9783_A509468E5052_.wvu.PrintTitles" localSheetId="25" hidden="1">ARMM!$1:$8</definedName>
    <definedName name="Z_5EB30BC1_E594_4574_9783_A509468E5052_.wvu.PrintTitles" localSheetId="33" hidden="1">'By SUCs'!$1:$7</definedName>
    <definedName name="Z_5EB30BC1_E594_4574_9783_A509468E5052_.wvu.PrintTitles" localSheetId="32" hidden="1">CHR!$1:$8</definedName>
    <definedName name="Z_5EB30BC1_E594_4574_9783_A509468E5052_.wvu.PrintTitles" localSheetId="29" hidden="1">COA!$1:$8</definedName>
    <definedName name="Z_5EB30BC1_E594_4574_9783_A509468E5052_.wvu.PrintTitles" localSheetId="30" hidden="1">COMELEC!$1:$8</definedName>
    <definedName name="Z_5EB30BC1_E594_4574_9783_A509468E5052_.wvu.PrintTitles" localSheetId="0" hidden="1">CONGRESS!$1:$8</definedName>
    <definedName name="Z_5EB30BC1_E594_4574_9783_A509468E5052_.wvu.PrintTitles" localSheetId="28" hidden="1">CSC!$1:$8</definedName>
    <definedName name="Z_5EB30BC1_E594_4574_9783_A509468E5052_.wvu.PrintTitles" localSheetId="4" hidden="1">DA!$1:$8</definedName>
    <definedName name="Z_5EB30BC1_E594_4574_9783_A509468E5052_.wvu.PrintTitles" localSheetId="3" hidden="1">DAR!$1:$8</definedName>
    <definedName name="Z_5EB30BC1_E594_4574_9783_A509468E5052_.wvu.PrintTitles" localSheetId="5" hidden="1">DBM!$1:$8</definedName>
    <definedName name="Z_5EB30BC1_E594_4574_9783_A509468E5052_.wvu.PrintTitles" localSheetId="8" hidden="1">DENR!$1:$8</definedName>
    <definedName name="Z_5EB30BC1_E594_4574_9783_A509468E5052_.wvu.PrintTitles" localSheetId="6" hidden="1">DEPED!$1:$8</definedName>
    <definedName name="Z_5EB30BC1_E594_4574_9783_A509468E5052_.wvu.PrintTitles" localSheetId="10" hidden="1">DFA!$1:$8</definedName>
    <definedName name="Z_5EB30BC1_E594_4574_9783_A509468E5052_.wvu.PrintTitles" localSheetId="12" hidden="1">DILG!$1:$8</definedName>
    <definedName name="Z_5EB30BC1_E594_4574_9783_A509468E5052_.wvu.PrintTitles" localSheetId="15" hidden="1">DND!$1:$8</definedName>
    <definedName name="Z_5EB30BC1_E594_4574_9783_A509468E5052_.wvu.PrintTitles" localSheetId="7" hidden="1">DOE!$1:$8</definedName>
    <definedName name="Z_5EB30BC1_E594_4574_9783_A509468E5052_.wvu.PrintTitles" localSheetId="9" hidden="1">DOF!$1:$8</definedName>
    <definedName name="Z_5EB30BC1_E594_4574_9783_A509468E5052_.wvu.PrintTitles" localSheetId="11" hidden="1">DOH!$1:$8</definedName>
    <definedName name="Z_5EB30BC1_E594_4574_9783_A509468E5052_.wvu.PrintTitles" localSheetId="13" hidden="1">DOJ!$1:$8</definedName>
    <definedName name="Z_5EB30BC1_E594_4574_9783_A509468E5052_.wvu.PrintTitles" localSheetId="14" hidden="1">DOLE!$1:$8</definedName>
    <definedName name="Z_5EB30BC1_E594_4574_9783_A509468E5052_.wvu.PrintTitles" localSheetId="17" hidden="1">DOST!$1:$8</definedName>
    <definedName name="Z_5EB30BC1_E594_4574_9783_A509468E5052_.wvu.PrintTitles" localSheetId="19" hidden="1">DOT!$1:$8</definedName>
    <definedName name="Z_5EB30BC1_E594_4574_9783_A509468E5052_.wvu.PrintTitles" localSheetId="21" hidden="1">DOTC!$1:$8</definedName>
    <definedName name="Z_5EB30BC1_E594_4574_9783_A509468E5052_.wvu.PrintTitles" localSheetId="16" hidden="1">DPWH!$1:$8</definedName>
    <definedName name="Z_5EB30BC1_E594_4574_9783_A509468E5052_.wvu.PrintTitles" localSheetId="18" hidden="1">DSWD!$1:$8</definedName>
    <definedName name="Z_5EB30BC1_E594_4574_9783_A509468E5052_.wvu.PrintTitles" localSheetId="20" hidden="1">DTI!$1:$8</definedName>
    <definedName name="Z_5EB30BC1_E594_4574_9783_A509468E5052_.wvu.PrintTitles" localSheetId="26" hidden="1">JLEC!$1:$8</definedName>
    <definedName name="Z_5EB30BC1_E594_4574_9783_A509468E5052_.wvu.PrintTitles" localSheetId="27" hidden="1">JUDICIARY!$1:$8</definedName>
    <definedName name="Z_5EB30BC1_E594_4574_9783_A509468E5052_.wvu.PrintTitles" localSheetId="22" hidden="1">NEDA!$1:$8</definedName>
    <definedName name="Z_5EB30BC1_E594_4574_9783_A509468E5052_.wvu.PrintTitles" localSheetId="24" hidden="1">OEO!$1:$8</definedName>
    <definedName name="Z_5EB30BC1_E594_4574_9783_A509468E5052_.wvu.PrintTitles" localSheetId="31" hidden="1">OMB!$1:$8</definedName>
    <definedName name="Z_5EB30BC1_E594_4574_9783_A509468E5052_.wvu.PrintTitles" localSheetId="1" hidden="1">OP!$1:$8</definedName>
    <definedName name="Z_5EB30BC1_E594_4574_9783_A509468E5052_.wvu.PrintTitles" localSheetId="2" hidden="1">OVP!$1:$8</definedName>
    <definedName name="Z_5EB30BC1_E594_4574_9783_A509468E5052_.wvu.PrintTitles" localSheetId="23" hidden="1">PCOO!$1:$8</definedName>
    <definedName name="Z_5EB30BC1_E594_4574_9783_A509468E5052_.wvu.Rows" localSheetId="25" hidden="1">ARMM!#REF!</definedName>
    <definedName name="Z_5EB30BC1_E594_4574_9783_A509468E5052_.wvu.Rows" localSheetId="32" hidden="1">CHR!#REF!</definedName>
    <definedName name="Z_5EB30BC1_E594_4574_9783_A509468E5052_.wvu.Rows" localSheetId="29" hidden="1">COA!#REF!</definedName>
    <definedName name="Z_5EB30BC1_E594_4574_9783_A509468E5052_.wvu.Rows" localSheetId="30" hidden="1">COMELEC!#REF!</definedName>
    <definedName name="Z_5EB30BC1_E594_4574_9783_A509468E5052_.wvu.Rows" localSheetId="0" hidden="1">CONGRESS!#REF!</definedName>
    <definedName name="Z_5EB30BC1_E594_4574_9783_A509468E5052_.wvu.Rows" localSheetId="28" hidden="1">CSC!#REF!</definedName>
    <definedName name="Z_5EB30BC1_E594_4574_9783_A509468E5052_.wvu.Rows" localSheetId="4" hidden="1">DA!#REF!</definedName>
    <definedName name="Z_5EB30BC1_E594_4574_9783_A509468E5052_.wvu.Rows" localSheetId="3" hidden="1">DAR!#REF!</definedName>
    <definedName name="Z_5EB30BC1_E594_4574_9783_A509468E5052_.wvu.Rows" localSheetId="5" hidden="1">DBM!#REF!</definedName>
    <definedName name="Z_5EB30BC1_E594_4574_9783_A509468E5052_.wvu.Rows" localSheetId="8" hidden="1">DENR!#REF!</definedName>
    <definedName name="Z_5EB30BC1_E594_4574_9783_A509468E5052_.wvu.Rows" localSheetId="6" hidden="1">DEPED!#REF!</definedName>
    <definedName name="Z_5EB30BC1_E594_4574_9783_A509468E5052_.wvu.Rows" localSheetId="10" hidden="1">DFA!#REF!</definedName>
    <definedName name="Z_5EB30BC1_E594_4574_9783_A509468E5052_.wvu.Rows" localSheetId="12" hidden="1">DILG!#REF!</definedName>
    <definedName name="Z_5EB30BC1_E594_4574_9783_A509468E5052_.wvu.Rows" localSheetId="15" hidden="1">DND!#REF!</definedName>
    <definedName name="Z_5EB30BC1_E594_4574_9783_A509468E5052_.wvu.Rows" localSheetId="7" hidden="1">DOE!#REF!</definedName>
    <definedName name="Z_5EB30BC1_E594_4574_9783_A509468E5052_.wvu.Rows" localSheetId="9" hidden="1">DOF!#REF!</definedName>
    <definedName name="Z_5EB30BC1_E594_4574_9783_A509468E5052_.wvu.Rows" localSheetId="11" hidden="1">DOH!#REF!</definedName>
    <definedName name="Z_5EB30BC1_E594_4574_9783_A509468E5052_.wvu.Rows" localSheetId="13" hidden="1">DOJ!#REF!</definedName>
    <definedName name="Z_5EB30BC1_E594_4574_9783_A509468E5052_.wvu.Rows" localSheetId="14" hidden="1">DOLE!#REF!</definedName>
    <definedName name="Z_5EB30BC1_E594_4574_9783_A509468E5052_.wvu.Rows" localSheetId="17" hidden="1">DOST!#REF!</definedName>
    <definedName name="Z_5EB30BC1_E594_4574_9783_A509468E5052_.wvu.Rows" localSheetId="19" hidden="1">DOT!#REF!</definedName>
    <definedName name="Z_5EB30BC1_E594_4574_9783_A509468E5052_.wvu.Rows" localSheetId="21" hidden="1">DOTC!#REF!</definedName>
    <definedName name="Z_5EB30BC1_E594_4574_9783_A509468E5052_.wvu.Rows" localSheetId="16" hidden="1">DPWH!#REF!</definedName>
    <definedName name="Z_5EB30BC1_E594_4574_9783_A509468E5052_.wvu.Rows" localSheetId="18" hidden="1">DSWD!#REF!</definedName>
    <definedName name="Z_5EB30BC1_E594_4574_9783_A509468E5052_.wvu.Rows" localSheetId="20" hidden="1">DTI!#REF!</definedName>
    <definedName name="Z_5EB30BC1_E594_4574_9783_A509468E5052_.wvu.Rows" localSheetId="26" hidden="1">JLEC!#REF!</definedName>
    <definedName name="Z_5EB30BC1_E594_4574_9783_A509468E5052_.wvu.Rows" localSheetId="27" hidden="1">JUDICIARY!#REF!</definedName>
    <definedName name="Z_5EB30BC1_E594_4574_9783_A509468E5052_.wvu.Rows" localSheetId="22" hidden="1">NEDA!#REF!</definedName>
    <definedName name="Z_5EB30BC1_E594_4574_9783_A509468E5052_.wvu.Rows" localSheetId="24" hidden="1">OEO!#REF!</definedName>
    <definedName name="Z_5EB30BC1_E594_4574_9783_A509468E5052_.wvu.Rows" localSheetId="31" hidden="1">OMB!#REF!</definedName>
    <definedName name="Z_5EB30BC1_E594_4574_9783_A509468E5052_.wvu.Rows" localSheetId="1" hidden="1">OP!#REF!</definedName>
    <definedName name="Z_5EB30BC1_E594_4574_9783_A509468E5052_.wvu.Rows" localSheetId="2" hidden="1">OVP!#REF!</definedName>
    <definedName name="Z_5EB30BC1_E594_4574_9783_A509468E5052_.wvu.Rows" localSheetId="23" hidden="1">PCOO!#REF!</definedName>
    <definedName name="Z_62F88107_6F92_4A14_88DE_161A9DEE695E_.wvu.Cols" localSheetId="25" hidden="1">ARMM!#REF!</definedName>
    <definedName name="Z_62F88107_6F92_4A14_88DE_161A9DEE695E_.wvu.Cols" localSheetId="32" hidden="1">CHR!#REF!</definedName>
    <definedName name="Z_62F88107_6F92_4A14_88DE_161A9DEE695E_.wvu.Cols" localSheetId="29" hidden="1">COA!#REF!</definedName>
    <definedName name="Z_62F88107_6F92_4A14_88DE_161A9DEE695E_.wvu.Cols" localSheetId="30" hidden="1">COMELEC!#REF!</definedName>
    <definedName name="Z_62F88107_6F92_4A14_88DE_161A9DEE695E_.wvu.Cols" localSheetId="0" hidden="1">CONGRESS!#REF!</definedName>
    <definedName name="Z_62F88107_6F92_4A14_88DE_161A9DEE695E_.wvu.Cols" localSheetId="28" hidden="1">CSC!#REF!</definedName>
    <definedName name="Z_62F88107_6F92_4A14_88DE_161A9DEE695E_.wvu.Cols" localSheetId="4" hidden="1">DA!#REF!</definedName>
    <definedName name="Z_62F88107_6F92_4A14_88DE_161A9DEE695E_.wvu.Cols" localSheetId="3" hidden="1">DAR!#REF!</definedName>
    <definedName name="Z_62F88107_6F92_4A14_88DE_161A9DEE695E_.wvu.Cols" localSheetId="5" hidden="1">DBM!#REF!</definedName>
    <definedName name="Z_62F88107_6F92_4A14_88DE_161A9DEE695E_.wvu.Cols" localSheetId="8" hidden="1">DENR!#REF!</definedName>
    <definedName name="Z_62F88107_6F92_4A14_88DE_161A9DEE695E_.wvu.Cols" localSheetId="6" hidden="1">DEPED!#REF!</definedName>
    <definedName name="Z_62F88107_6F92_4A14_88DE_161A9DEE695E_.wvu.Cols" localSheetId="10" hidden="1">DFA!#REF!</definedName>
    <definedName name="Z_62F88107_6F92_4A14_88DE_161A9DEE695E_.wvu.Cols" localSheetId="12" hidden="1">DILG!#REF!</definedName>
    <definedName name="Z_62F88107_6F92_4A14_88DE_161A9DEE695E_.wvu.Cols" localSheetId="15" hidden="1">DND!#REF!</definedName>
    <definedName name="Z_62F88107_6F92_4A14_88DE_161A9DEE695E_.wvu.Cols" localSheetId="7" hidden="1">DOE!#REF!</definedName>
    <definedName name="Z_62F88107_6F92_4A14_88DE_161A9DEE695E_.wvu.Cols" localSheetId="9" hidden="1">DOF!#REF!</definedName>
    <definedName name="Z_62F88107_6F92_4A14_88DE_161A9DEE695E_.wvu.Cols" localSheetId="11" hidden="1">DOH!#REF!</definedName>
    <definedName name="Z_62F88107_6F92_4A14_88DE_161A9DEE695E_.wvu.Cols" localSheetId="13" hidden="1">DOJ!#REF!</definedName>
    <definedName name="Z_62F88107_6F92_4A14_88DE_161A9DEE695E_.wvu.Cols" localSheetId="14" hidden="1">DOLE!#REF!</definedName>
    <definedName name="Z_62F88107_6F92_4A14_88DE_161A9DEE695E_.wvu.Cols" localSheetId="17" hidden="1">DOST!#REF!</definedName>
    <definedName name="Z_62F88107_6F92_4A14_88DE_161A9DEE695E_.wvu.Cols" localSheetId="19" hidden="1">DOT!#REF!</definedName>
    <definedName name="Z_62F88107_6F92_4A14_88DE_161A9DEE695E_.wvu.Cols" localSheetId="21" hidden="1">DOTC!#REF!</definedName>
    <definedName name="Z_62F88107_6F92_4A14_88DE_161A9DEE695E_.wvu.Cols" localSheetId="16" hidden="1">DPWH!#REF!</definedName>
    <definedName name="Z_62F88107_6F92_4A14_88DE_161A9DEE695E_.wvu.Cols" localSheetId="18" hidden="1">DSWD!#REF!</definedName>
    <definedName name="Z_62F88107_6F92_4A14_88DE_161A9DEE695E_.wvu.Cols" localSheetId="20" hidden="1">DTI!#REF!</definedName>
    <definedName name="Z_62F88107_6F92_4A14_88DE_161A9DEE695E_.wvu.Cols" localSheetId="26" hidden="1">JLEC!#REF!</definedName>
    <definedName name="Z_62F88107_6F92_4A14_88DE_161A9DEE695E_.wvu.Cols" localSheetId="27" hidden="1">JUDICIARY!#REF!</definedName>
    <definedName name="Z_62F88107_6F92_4A14_88DE_161A9DEE695E_.wvu.Cols" localSheetId="22" hidden="1">NEDA!#REF!</definedName>
    <definedName name="Z_62F88107_6F92_4A14_88DE_161A9DEE695E_.wvu.Cols" localSheetId="24" hidden="1">OEO!#REF!</definedName>
    <definedName name="Z_62F88107_6F92_4A14_88DE_161A9DEE695E_.wvu.Cols" localSheetId="31" hidden="1">OMB!#REF!</definedName>
    <definedName name="Z_62F88107_6F92_4A14_88DE_161A9DEE695E_.wvu.Cols" localSheetId="1" hidden="1">OP!#REF!</definedName>
    <definedName name="Z_62F88107_6F92_4A14_88DE_161A9DEE695E_.wvu.Cols" localSheetId="2" hidden="1">OVP!#REF!</definedName>
    <definedName name="Z_62F88107_6F92_4A14_88DE_161A9DEE695E_.wvu.Cols" localSheetId="23" hidden="1">PCOO!#REF!</definedName>
    <definedName name="Z_62F88107_6F92_4A14_88DE_161A9DEE695E_.wvu.PrintArea" localSheetId="25" hidden="1">ARMM!$A$10:$A$18</definedName>
    <definedName name="Z_62F88107_6F92_4A14_88DE_161A9DEE695E_.wvu.PrintArea" localSheetId="32" hidden="1">CHR!$A$10:$A$18</definedName>
    <definedName name="Z_62F88107_6F92_4A14_88DE_161A9DEE695E_.wvu.PrintArea" localSheetId="29" hidden="1">COA!$A$10:$A$18</definedName>
    <definedName name="Z_62F88107_6F92_4A14_88DE_161A9DEE695E_.wvu.PrintArea" localSheetId="30" hidden="1">COMELEC!$A$10:$A$18</definedName>
    <definedName name="Z_62F88107_6F92_4A14_88DE_161A9DEE695E_.wvu.PrintArea" localSheetId="0" hidden="1">CONGRESS!$A$10:$A$63</definedName>
    <definedName name="Z_62F88107_6F92_4A14_88DE_161A9DEE695E_.wvu.PrintArea" localSheetId="28" hidden="1">CSC!$A$10:$A$36</definedName>
    <definedName name="Z_62F88107_6F92_4A14_88DE_161A9DEE695E_.wvu.PrintArea" localSheetId="4" hidden="1">DA!$A$10:$A$120</definedName>
    <definedName name="Z_62F88107_6F92_4A14_88DE_161A9DEE695E_.wvu.PrintArea" localSheetId="3" hidden="1">DAR!$A$10:$A$18</definedName>
    <definedName name="Z_62F88107_6F92_4A14_88DE_161A9DEE695E_.wvu.PrintArea" localSheetId="5" hidden="1">DBM!$A$10:$A$36</definedName>
    <definedName name="Z_62F88107_6F92_4A14_88DE_161A9DEE695E_.wvu.PrintArea" localSheetId="8" hidden="1">DENR!$A$10:$A$72</definedName>
    <definedName name="Z_62F88107_6F92_4A14_88DE_161A9DEE695E_.wvu.PrintArea" localSheetId="6" hidden="1">DEPED!$A$10:$A$74</definedName>
    <definedName name="Z_62F88107_6F92_4A14_88DE_161A9DEE695E_.wvu.PrintArea" localSheetId="10" hidden="1">DFA!$A$10:$A$54</definedName>
    <definedName name="Z_62F88107_6F92_4A14_88DE_161A9DEE695E_.wvu.PrintArea" localSheetId="12" hidden="1">DILG!$A$10:$A$83</definedName>
    <definedName name="Z_62F88107_6F92_4A14_88DE_161A9DEE695E_.wvu.PrintArea" localSheetId="15" hidden="1">DND!$A$10:$A$108</definedName>
    <definedName name="Z_62F88107_6F92_4A14_88DE_161A9DEE695E_.wvu.PrintArea" localSheetId="7" hidden="1">DOE!$A$10:$A$18</definedName>
    <definedName name="Z_62F88107_6F92_4A14_88DE_161A9DEE695E_.wvu.PrintArea" localSheetId="9" hidden="1">DOF!$A$10:$A$117</definedName>
    <definedName name="Z_62F88107_6F92_4A14_88DE_161A9DEE695E_.wvu.PrintArea" localSheetId="11" hidden="1">DOH!$A$10:$A$47</definedName>
    <definedName name="Z_62F88107_6F92_4A14_88DE_161A9DEE695E_.wvu.PrintArea" localSheetId="13" hidden="1">DOJ!$A$10:$A$110</definedName>
    <definedName name="Z_62F88107_6F92_4A14_88DE_161A9DEE695E_.wvu.PrintArea" localSheetId="14" hidden="1">DOLE!$A$10:$A$102</definedName>
    <definedName name="Z_62F88107_6F92_4A14_88DE_161A9DEE695E_.wvu.PrintArea" localSheetId="17" hidden="1">DOST!$A$10:$A$201</definedName>
    <definedName name="Z_62F88107_6F92_4A14_88DE_161A9DEE695E_.wvu.PrintArea" localSheetId="19" hidden="1">DOT!$A$10:$A$45</definedName>
    <definedName name="Z_62F88107_6F92_4A14_88DE_161A9DEE695E_.wvu.PrintArea" localSheetId="21" hidden="1">DOTC!$A$10:$A$84</definedName>
    <definedName name="Z_62F88107_6F92_4A14_88DE_161A9DEE695E_.wvu.PrintArea" localSheetId="16" hidden="1">DPWH!$A$10:$A$19</definedName>
    <definedName name="Z_62F88107_6F92_4A14_88DE_161A9DEE695E_.wvu.PrintArea" localSheetId="18" hidden="1">DSWD!$A$10:$A$65</definedName>
    <definedName name="Z_62F88107_6F92_4A14_88DE_161A9DEE695E_.wvu.PrintArea" localSheetId="20" hidden="1">DTI!$A$10:$A$74</definedName>
    <definedName name="Z_62F88107_6F92_4A14_88DE_161A9DEE695E_.wvu.PrintArea" localSheetId="26" hidden="1">JLEC!$A$10:$A$18</definedName>
    <definedName name="Z_62F88107_6F92_4A14_88DE_161A9DEE695E_.wvu.PrintArea" localSheetId="27" hidden="1">JUDICIARY!$A$10:$A$63</definedName>
    <definedName name="Z_62F88107_6F92_4A14_88DE_161A9DEE695E_.wvu.PrintArea" localSheetId="22" hidden="1">NEDA!$A$10:$A$81</definedName>
    <definedName name="Z_62F88107_6F92_4A14_88DE_161A9DEE695E_.wvu.PrintArea" localSheetId="24" hidden="1">OEO!$A$10:$A$335</definedName>
    <definedName name="Z_62F88107_6F92_4A14_88DE_161A9DEE695E_.wvu.PrintArea" localSheetId="31" hidden="1">OMB!$A$10:$A$18</definedName>
    <definedName name="Z_62F88107_6F92_4A14_88DE_161A9DEE695E_.wvu.PrintArea" localSheetId="1" hidden="1">OP!$A$10:$A$18</definedName>
    <definedName name="Z_62F88107_6F92_4A14_88DE_161A9DEE695E_.wvu.PrintArea" localSheetId="2" hidden="1">OVP!$A$10:$A$18</definedName>
    <definedName name="Z_62F88107_6F92_4A14_88DE_161A9DEE695E_.wvu.PrintArea" localSheetId="23" hidden="1">PCOO!$A$10:$A$81</definedName>
    <definedName name="Z_62F88107_6F92_4A14_88DE_161A9DEE695E_.wvu.PrintTitles" localSheetId="25" hidden="1">ARMM!$1:$9</definedName>
    <definedName name="Z_62F88107_6F92_4A14_88DE_161A9DEE695E_.wvu.PrintTitles" localSheetId="32" hidden="1">CHR!$1:$9</definedName>
    <definedName name="Z_62F88107_6F92_4A14_88DE_161A9DEE695E_.wvu.PrintTitles" localSheetId="29" hidden="1">COA!$1:$9</definedName>
    <definedName name="Z_62F88107_6F92_4A14_88DE_161A9DEE695E_.wvu.PrintTitles" localSheetId="30" hidden="1">COMELEC!$1:$9</definedName>
    <definedName name="Z_62F88107_6F92_4A14_88DE_161A9DEE695E_.wvu.PrintTitles" localSheetId="0" hidden="1">CONGRESS!$1:$9</definedName>
    <definedName name="Z_62F88107_6F92_4A14_88DE_161A9DEE695E_.wvu.PrintTitles" localSheetId="28" hidden="1">CSC!$1:$9</definedName>
    <definedName name="Z_62F88107_6F92_4A14_88DE_161A9DEE695E_.wvu.PrintTitles" localSheetId="4" hidden="1">DA!$1:$9</definedName>
    <definedName name="Z_62F88107_6F92_4A14_88DE_161A9DEE695E_.wvu.PrintTitles" localSheetId="3" hidden="1">DAR!$1:$9</definedName>
    <definedName name="Z_62F88107_6F92_4A14_88DE_161A9DEE695E_.wvu.PrintTitles" localSheetId="5" hidden="1">DBM!$1:$9</definedName>
    <definedName name="Z_62F88107_6F92_4A14_88DE_161A9DEE695E_.wvu.PrintTitles" localSheetId="8" hidden="1">DENR!$1:$9</definedName>
    <definedName name="Z_62F88107_6F92_4A14_88DE_161A9DEE695E_.wvu.PrintTitles" localSheetId="6" hidden="1">DEPED!$1:$9</definedName>
    <definedName name="Z_62F88107_6F92_4A14_88DE_161A9DEE695E_.wvu.PrintTitles" localSheetId="10" hidden="1">DFA!$1:$9</definedName>
    <definedName name="Z_62F88107_6F92_4A14_88DE_161A9DEE695E_.wvu.PrintTitles" localSheetId="12" hidden="1">DILG!$1:$9</definedName>
    <definedName name="Z_62F88107_6F92_4A14_88DE_161A9DEE695E_.wvu.PrintTitles" localSheetId="15" hidden="1">DND!$1:$9</definedName>
    <definedName name="Z_62F88107_6F92_4A14_88DE_161A9DEE695E_.wvu.PrintTitles" localSheetId="7" hidden="1">DOE!$1:$9</definedName>
    <definedName name="Z_62F88107_6F92_4A14_88DE_161A9DEE695E_.wvu.PrintTitles" localSheetId="9" hidden="1">DOF!$1:$9</definedName>
    <definedName name="Z_62F88107_6F92_4A14_88DE_161A9DEE695E_.wvu.PrintTitles" localSheetId="11" hidden="1">DOH!$1:$9</definedName>
    <definedName name="Z_62F88107_6F92_4A14_88DE_161A9DEE695E_.wvu.PrintTitles" localSheetId="13" hidden="1">DOJ!$1:$9</definedName>
    <definedName name="Z_62F88107_6F92_4A14_88DE_161A9DEE695E_.wvu.PrintTitles" localSheetId="14" hidden="1">DOLE!$1:$9</definedName>
    <definedName name="Z_62F88107_6F92_4A14_88DE_161A9DEE695E_.wvu.PrintTitles" localSheetId="17" hidden="1">DOST!$1:$9</definedName>
    <definedName name="Z_62F88107_6F92_4A14_88DE_161A9DEE695E_.wvu.PrintTitles" localSheetId="19" hidden="1">DOT!$1:$9</definedName>
    <definedName name="Z_62F88107_6F92_4A14_88DE_161A9DEE695E_.wvu.PrintTitles" localSheetId="21" hidden="1">DOTC!$1:$9</definedName>
    <definedName name="Z_62F88107_6F92_4A14_88DE_161A9DEE695E_.wvu.PrintTitles" localSheetId="16" hidden="1">DPWH!$1:$9</definedName>
    <definedName name="Z_62F88107_6F92_4A14_88DE_161A9DEE695E_.wvu.PrintTitles" localSheetId="18" hidden="1">DSWD!$1:$9</definedName>
    <definedName name="Z_62F88107_6F92_4A14_88DE_161A9DEE695E_.wvu.PrintTitles" localSheetId="20" hidden="1">DTI!$1:$9</definedName>
    <definedName name="Z_62F88107_6F92_4A14_88DE_161A9DEE695E_.wvu.PrintTitles" localSheetId="26" hidden="1">JLEC!$1:$9</definedName>
    <definedName name="Z_62F88107_6F92_4A14_88DE_161A9DEE695E_.wvu.PrintTitles" localSheetId="27" hidden="1">JUDICIARY!$1:$9</definedName>
    <definedName name="Z_62F88107_6F92_4A14_88DE_161A9DEE695E_.wvu.PrintTitles" localSheetId="22" hidden="1">NEDA!$1:$9</definedName>
    <definedName name="Z_62F88107_6F92_4A14_88DE_161A9DEE695E_.wvu.PrintTitles" localSheetId="24" hidden="1">OEO!$1:$9</definedName>
    <definedName name="Z_62F88107_6F92_4A14_88DE_161A9DEE695E_.wvu.PrintTitles" localSheetId="31" hidden="1">OMB!$1:$9</definedName>
    <definedName name="Z_62F88107_6F92_4A14_88DE_161A9DEE695E_.wvu.PrintTitles" localSheetId="1" hidden="1">OP!$1:$9</definedName>
    <definedName name="Z_62F88107_6F92_4A14_88DE_161A9DEE695E_.wvu.PrintTitles" localSheetId="2" hidden="1">OVP!$1:$9</definedName>
    <definedName name="Z_62F88107_6F92_4A14_88DE_161A9DEE695E_.wvu.PrintTitles" localSheetId="23" hidden="1">PCOO!$1:$9</definedName>
    <definedName name="Z_726BDB03_08E1_4C2F_9171_21F59B4F94CA_.wvu.PrintArea" localSheetId="25" hidden="1">ARMM!#REF!</definedName>
    <definedName name="Z_726BDB03_08E1_4C2F_9171_21F59B4F94CA_.wvu.PrintArea" localSheetId="33" hidden="1">'By SUCs'!$A$1:$Q$1180</definedName>
    <definedName name="Z_726BDB03_08E1_4C2F_9171_21F59B4F94CA_.wvu.PrintArea" localSheetId="32" hidden="1">CHR!#REF!</definedName>
    <definedName name="Z_726BDB03_08E1_4C2F_9171_21F59B4F94CA_.wvu.PrintArea" localSheetId="29" hidden="1">COA!#REF!</definedName>
    <definedName name="Z_726BDB03_08E1_4C2F_9171_21F59B4F94CA_.wvu.PrintArea" localSheetId="30" hidden="1">COMELEC!#REF!</definedName>
    <definedName name="Z_726BDB03_08E1_4C2F_9171_21F59B4F94CA_.wvu.PrintArea" localSheetId="0" hidden="1">CONGRESS!#REF!</definedName>
    <definedName name="Z_726BDB03_08E1_4C2F_9171_21F59B4F94CA_.wvu.PrintArea" localSheetId="28" hidden="1">CSC!#REF!</definedName>
    <definedName name="Z_726BDB03_08E1_4C2F_9171_21F59B4F94CA_.wvu.PrintArea" localSheetId="4" hidden="1">DA!#REF!</definedName>
    <definedName name="Z_726BDB03_08E1_4C2F_9171_21F59B4F94CA_.wvu.PrintArea" localSheetId="3" hidden="1">DAR!#REF!</definedName>
    <definedName name="Z_726BDB03_08E1_4C2F_9171_21F59B4F94CA_.wvu.PrintArea" localSheetId="5" hidden="1">DBM!#REF!</definedName>
    <definedName name="Z_726BDB03_08E1_4C2F_9171_21F59B4F94CA_.wvu.PrintArea" localSheetId="8" hidden="1">DENR!#REF!</definedName>
    <definedName name="Z_726BDB03_08E1_4C2F_9171_21F59B4F94CA_.wvu.PrintArea" localSheetId="6" hidden="1">DEPED!#REF!</definedName>
    <definedName name="Z_726BDB03_08E1_4C2F_9171_21F59B4F94CA_.wvu.PrintArea" localSheetId="10" hidden="1">DFA!#REF!</definedName>
    <definedName name="Z_726BDB03_08E1_4C2F_9171_21F59B4F94CA_.wvu.PrintArea" localSheetId="12" hidden="1">DILG!#REF!</definedName>
    <definedName name="Z_726BDB03_08E1_4C2F_9171_21F59B4F94CA_.wvu.PrintArea" localSheetId="15" hidden="1">DND!#REF!</definedName>
    <definedName name="Z_726BDB03_08E1_4C2F_9171_21F59B4F94CA_.wvu.PrintArea" localSheetId="7" hidden="1">DOE!#REF!</definedName>
    <definedName name="Z_726BDB03_08E1_4C2F_9171_21F59B4F94CA_.wvu.PrintArea" localSheetId="9" hidden="1">DOF!#REF!</definedName>
    <definedName name="Z_726BDB03_08E1_4C2F_9171_21F59B4F94CA_.wvu.PrintArea" localSheetId="11" hidden="1">DOH!#REF!</definedName>
    <definedName name="Z_726BDB03_08E1_4C2F_9171_21F59B4F94CA_.wvu.PrintArea" localSheetId="13" hidden="1">DOJ!#REF!</definedName>
    <definedName name="Z_726BDB03_08E1_4C2F_9171_21F59B4F94CA_.wvu.PrintArea" localSheetId="14" hidden="1">DOLE!#REF!</definedName>
    <definedName name="Z_726BDB03_08E1_4C2F_9171_21F59B4F94CA_.wvu.PrintArea" localSheetId="17" hidden="1">DOST!#REF!</definedName>
    <definedName name="Z_726BDB03_08E1_4C2F_9171_21F59B4F94CA_.wvu.PrintArea" localSheetId="19" hidden="1">DOT!#REF!</definedName>
    <definedName name="Z_726BDB03_08E1_4C2F_9171_21F59B4F94CA_.wvu.PrintArea" localSheetId="21" hidden="1">DOTC!#REF!</definedName>
    <definedName name="Z_726BDB03_08E1_4C2F_9171_21F59B4F94CA_.wvu.PrintArea" localSheetId="16" hidden="1">DPWH!#REF!</definedName>
    <definedName name="Z_726BDB03_08E1_4C2F_9171_21F59B4F94CA_.wvu.PrintArea" localSheetId="18" hidden="1">DSWD!#REF!</definedName>
    <definedName name="Z_726BDB03_08E1_4C2F_9171_21F59B4F94CA_.wvu.PrintArea" localSheetId="20" hidden="1">DTI!#REF!</definedName>
    <definedName name="Z_726BDB03_08E1_4C2F_9171_21F59B4F94CA_.wvu.PrintArea" localSheetId="26" hidden="1">JLEC!#REF!</definedName>
    <definedName name="Z_726BDB03_08E1_4C2F_9171_21F59B4F94CA_.wvu.PrintArea" localSheetId="27" hidden="1">JUDICIARY!#REF!</definedName>
    <definedName name="Z_726BDB03_08E1_4C2F_9171_21F59B4F94CA_.wvu.PrintArea" localSheetId="22" hidden="1">NEDA!#REF!</definedName>
    <definedName name="Z_726BDB03_08E1_4C2F_9171_21F59B4F94CA_.wvu.PrintArea" localSheetId="24" hidden="1">OEO!#REF!</definedName>
    <definedName name="Z_726BDB03_08E1_4C2F_9171_21F59B4F94CA_.wvu.PrintArea" localSheetId="31" hidden="1">OMB!#REF!</definedName>
    <definedName name="Z_726BDB03_08E1_4C2F_9171_21F59B4F94CA_.wvu.PrintArea" localSheetId="1" hidden="1">OP!#REF!</definedName>
    <definedName name="Z_726BDB03_08E1_4C2F_9171_21F59B4F94CA_.wvu.PrintArea" localSheetId="2" hidden="1">OVP!#REF!</definedName>
    <definedName name="Z_726BDB03_08E1_4C2F_9171_21F59B4F94CA_.wvu.PrintArea" localSheetId="23" hidden="1">PCOO!#REF!</definedName>
    <definedName name="Z_726BDB03_08E1_4C2F_9171_21F59B4F94CA_.wvu.PrintTitles" localSheetId="25" hidden="1">ARMM!$1:$9</definedName>
    <definedName name="Z_726BDB03_08E1_4C2F_9171_21F59B4F94CA_.wvu.PrintTitles" localSheetId="33" hidden="1">'By SUCs'!$A:$A,'By SUCs'!$1:$7</definedName>
    <definedName name="Z_726BDB03_08E1_4C2F_9171_21F59B4F94CA_.wvu.PrintTitles" localSheetId="32" hidden="1">CHR!$1:$9</definedName>
    <definedName name="Z_726BDB03_08E1_4C2F_9171_21F59B4F94CA_.wvu.PrintTitles" localSheetId="29" hidden="1">COA!$1:$9</definedName>
    <definedName name="Z_726BDB03_08E1_4C2F_9171_21F59B4F94CA_.wvu.PrintTitles" localSheetId="30" hidden="1">COMELEC!$1:$9</definedName>
    <definedName name="Z_726BDB03_08E1_4C2F_9171_21F59B4F94CA_.wvu.PrintTitles" localSheetId="0" hidden="1">CONGRESS!$1:$9</definedName>
    <definedName name="Z_726BDB03_08E1_4C2F_9171_21F59B4F94CA_.wvu.PrintTitles" localSheetId="28" hidden="1">CSC!$1:$9</definedName>
    <definedName name="Z_726BDB03_08E1_4C2F_9171_21F59B4F94CA_.wvu.PrintTitles" localSheetId="4" hidden="1">DA!$1:$9</definedName>
    <definedName name="Z_726BDB03_08E1_4C2F_9171_21F59B4F94CA_.wvu.PrintTitles" localSheetId="3" hidden="1">DAR!$1:$9</definedName>
    <definedName name="Z_726BDB03_08E1_4C2F_9171_21F59B4F94CA_.wvu.PrintTitles" localSheetId="5" hidden="1">DBM!$1:$9</definedName>
    <definedName name="Z_726BDB03_08E1_4C2F_9171_21F59B4F94CA_.wvu.PrintTitles" localSheetId="8" hidden="1">DENR!$1:$9</definedName>
    <definedName name="Z_726BDB03_08E1_4C2F_9171_21F59B4F94CA_.wvu.PrintTitles" localSheetId="6" hidden="1">DEPED!$1:$9</definedName>
    <definedName name="Z_726BDB03_08E1_4C2F_9171_21F59B4F94CA_.wvu.PrintTitles" localSheetId="10" hidden="1">DFA!$1:$9</definedName>
    <definedName name="Z_726BDB03_08E1_4C2F_9171_21F59B4F94CA_.wvu.PrintTitles" localSheetId="12" hidden="1">DILG!$1:$9</definedName>
    <definedName name="Z_726BDB03_08E1_4C2F_9171_21F59B4F94CA_.wvu.PrintTitles" localSheetId="15" hidden="1">DND!$1:$9</definedName>
    <definedName name="Z_726BDB03_08E1_4C2F_9171_21F59B4F94CA_.wvu.PrintTitles" localSheetId="7" hidden="1">DOE!$1:$9</definedName>
    <definedName name="Z_726BDB03_08E1_4C2F_9171_21F59B4F94CA_.wvu.PrintTitles" localSheetId="9" hidden="1">DOF!$1:$9</definedName>
    <definedName name="Z_726BDB03_08E1_4C2F_9171_21F59B4F94CA_.wvu.PrintTitles" localSheetId="11" hidden="1">DOH!$1:$9</definedName>
    <definedName name="Z_726BDB03_08E1_4C2F_9171_21F59B4F94CA_.wvu.PrintTitles" localSheetId="13" hidden="1">DOJ!$1:$9</definedName>
    <definedName name="Z_726BDB03_08E1_4C2F_9171_21F59B4F94CA_.wvu.PrintTitles" localSheetId="14" hidden="1">DOLE!$1:$9</definedName>
    <definedName name="Z_726BDB03_08E1_4C2F_9171_21F59B4F94CA_.wvu.PrintTitles" localSheetId="17" hidden="1">DOST!$1:$9</definedName>
    <definedName name="Z_726BDB03_08E1_4C2F_9171_21F59B4F94CA_.wvu.PrintTitles" localSheetId="19" hidden="1">DOT!$1:$9</definedName>
    <definedName name="Z_726BDB03_08E1_4C2F_9171_21F59B4F94CA_.wvu.PrintTitles" localSheetId="21" hidden="1">DOTC!$1:$9</definedName>
    <definedName name="Z_726BDB03_08E1_4C2F_9171_21F59B4F94CA_.wvu.PrintTitles" localSheetId="16" hidden="1">DPWH!$1:$9</definedName>
    <definedName name="Z_726BDB03_08E1_4C2F_9171_21F59B4F94CA_.wvu.PrintTitles" localSheetId="18" hidden="1">DSWD!$1:$9</definedName>
    <definedName name="Z_726BDB03_08E1_4C2F_9171_21F59B4F94CA_.wvu.PrintTitles" localSheetId="20" hidden="1">DTI!$1:$9</definedName>
    <definedName name="Z_726BDB03_08E1_4C2F_9171_21F59B4F94CA_.wvu.PrintTitles" localSheetId="26" hidden="1">JLEC!$1:$9</definedName>
    <definedName name="Z_726BDB03_08E1_4C2F_9171_21F59B4F94CA_.wvu.PrintTitles" localSheetId="27" hidden="1">JUDICIARY!$1:$9</definedName>
    <definedName name="Z_726BDB03_08E1_4C2F_9171_21F59B4F94CA_.wvu.PrintTitles" localSheetId="22" hidden="1">NEDA!$1:$9</definedName>
    <definedName name="Z_726BDB03_08E1_4C2F_9171_21F59B4F94CA_.wvu.PrintTitles" localSheetId="24" hidden="1">OEO!$1:$9</definedName>
    <definedName name="Z_726BDB03_08E1_4C2F_9171_21F59B4F94CA_.wvu.PrintTitles" localSheetId="31" hidden="1">OMB!$1:$9</definedName>
    <definedName name="Z_726BDB03_08E1_4C2F_9171_21F59B4F94CA_.wvu.PrintTitles" localSheetId="1" hidden="1">OP!$1:$9</definedName>
    <definedName name="Z_726BDB03_08E1_4C2F_9171_21F59B4F94CA_.wvu.PrintTitles" localSheetId="2" hidden="1">OVP!$1:$9</definedName>
    <definedName name="Z_726BDB03_08E1_4C2F_9171_21F59B4F94CA_.wvu.PrintTitles" localSheetId="23" hidden="1">PCOO!$1:$9</definedName>
    <definedName name="Z_92A72121_270A_4D07_961C_15515D7CE906_.wvu.Cols" localSheetId="33" hidden="1">'By SUCs'!#REF!,'By SUCs'!#REF!,'By SUCs'!#REF!,'By SUCs'!#REF!,'By SUCs'!#REF!</definedName>
    <definedName name="Z_92A72121_270A_4D07_961C_15515D7CE906_.wvu.PrintArea" localSheetId="33" hidden="1">'By SUCs'!$A$9:$A$1386</definedName>
    <definedName name="Z_92A72121_270A_4D07_961C_15515D7CE906_.wvu.PrintTitles" localSheetId="33" hidden="1">'By SUCs'!$1:$8</definedName>
    <definedName name="Z_92A72121_270A_4D07_961C_15515D7CE906_.wvu.Rows" localSheetId="33" hidden="1">'By SUCs'!#REF!,'By SUCs'!#REF!,'By SUCs'!#REF!,'By SUCs'!#REF!,'By SUCs'!#REF!,'By SUCs'!#REF!,'By SUCs'!$1320:$1320,'By SUCs'!#REF!,'By SUCs'!#REF!,'By SUCs'!#REF!,'By SUCs'!#REF!,'By SUCs'!$1350:$1350,'By SUCs'!#REF!,'By SUCs'!#REF!,'By SUCs'!#REF!,'By SUCs'!#REF!,'By SUCs'!#REF!,'By SUCs'!#REF!</definedName>
    <definedName name="Z_989049C6_36EC_4AFA_B9D7_1E97C4FB16D4_.wvu.Cols" localSheetId="33" hidden="1">'By SUCs'!$B:$D</definedName>
    <definedName name="Z_989049C6_36EC_4AFA_B9D7_1E97C4FB16D4_.wvu.PrintArea" localSheetId="25" hidden="1">ARMM!$A$1:$F$18</definedName>
    <definedName name="Z_989049C6_36EC_4AFA_B9D7_1E97C4FB16D4_.wvu.PrintArea" localSheetId="33" hidden="1">'By SUCs'!$A$1:$H$1184</definedName>
    <definedName name="Z_989049C6_36EC_4AFA_B9D7_1E97C4FB16D4_.wvu.PrintArea" localSheetId="32" hidden="1">CHR!$A$1:$F$18</definedName>
    <definedName name="Z_989049C6_36EC_4AFA_B9D7_1E97C4FB16D4_.wvu.PrintArea" localSheetId="29" hidden="1">COA!$A$1:$F$18</definedName>
    <definedName name="Z_989049C6_36EC_4AFA_B9D7_1E97C4FB16D4_.wvu.PrintArea" localSheetId="30" hidden="1">COMELEC!$A$1:$F$18</definedName>
    <definedName name="Z_989049C6_36EC_4AFA_B9D7_1E97C4FB16D4_.wvu.PrintArea" localSheetId="0" hidden="1">CONGRESS!$A$1:$F$63</definedName>
    <definedName name="Z_989049C6_36EC_4AFA_B9D7_1E97C4FB16D4_.wvu.PrintArea" localSheetId="28" hidden="1">CSC!$A$1:$F$36</definedName>
    <definedName name="Z_989049C6_36EC_4AFA_B9D7_1E97C4FB16D4_.wvu.PrintArea" localSheetId="4" hidden="1">DA!$A$1:$F$120</definedName>
    <definedName name="Z_989049C6_36EC_4AFA_B9D7_1E97C4FB16D4_.wvu.PrintArea" localSheetId="3" hidden="1">DAR!$A$1:$F$18</definedName>
    <definedName name="Z_989049C6_36EC_4AFA_B9D7_1E97C4FB16D4_.wvu.PrintArea" localSheetId="5" hidden="1">DBM!$A$1:$F$36</definedName>
    <definedName name="Z_989049C6_36EC_4AFA_B9D7_1E97C4FB16D4_.wvu.PrintArea" localSheetId="8" hidden="1">DENR!$A$1:$F$72</definedName>
    <definedName name="Z_989049C6_36EC_4AFA_B9D7_1E97C4FB16D4_.wvu.PrintArea" localSheetId="6" hidden="1">DEPED!$A$1:$F$74</definedName>
    <definedName name="Z_989049C6_36EC_4AFA_B9D7_1E97C4FB16D4_.wvu.PrintArea" localSheetId="10" hidden="1">DFA!$A$1:$F$54</definedName>
    <definedName name="Z_989049C6_36EC_4AFA_B9D7_1E97C4FB16D4_.wvu.PrintArea" localSheetId="12" hidden="1">DILG!$A$1:$F$83</definedName>
    <definedName name="Z_989049C6_36EC_4AFA_B9D7_1E97C4FB16D4_.wvu.PrintArea" localSheetId="15" hidden="1">DND!$A$1:$F$108</definedName>
    <definedName name="Z_989049C6_36EC_4AFA_B9D7_1E97C4FB16D4_.wvu.PrintArea" localSheetId="7" hidden="1">DOE!$A$1:$F$18</definedName>
    <definedName name="Z_989049C6_36EC_4AFA_B9D7_1E97C4FB16D4_.wvu.PrintArea" localSheetId="9" hidden="1">DOF!$A$1:$F$117</definedName>
    <definedName name="Z_989049C6_36EC_4AFA_B9D7_1E97C4FB16D4_.wvu.PrintArea" localSheetId="11" hidden="1">DOH!$A$1:$F$47</definedName>
    <definedName name="Z_989049C6_36EC_4AFA_B9D7_1E97C4FB16D4_.wvu.PrintArea" localSheetId="13" hidden="1">DOJ!$A$1:$F$110</definedName>
    <definedName name="Z_989049C6_36EC_4AFA_B9D7_1E97C4FB16D4_.wvu.PrintArea" localSheetId="14" hidden="1">DOLE!$A$1:$F$102</definedName>
    <definedName name="Z_989049C6_36EC_4AFA_B9D7_1E97C4FB16D4_.wvu.PrintArea" localSheetId="17" hidden="1">DOST!$A$1:$F$201</definedName>
    <definedName name="Z_989049C6_36EC_4AFA_B9D7_1E97C4FB16D4_.wvu.PrintArea" localSheetId="19" hidden="1">DOT!$A$1:$F$45</definedName>
    <definedName name="Z_989049C6_36EC_4AFA_B9D7_1E97C4FB16D4_.wvu.PrintArea" localSheetId="21" hidden="1">DOTC!$A$1:$F$84</definedName>
    <definedName name="Z_989049C6_36EC_4AFA_B9D7_1E97C4FB16D4_.wvu.PrintArea" localSheetId="16" hidden="1">DPWH!$A$1:$F$19</definedName>
    <definedName name="Z_989049C6_36EC_4AFA_B9D7_1E97C4FB16D4_.wvu.PrintArea" localSheetId="18" hidden="1">DSWD!$A$1:$F$65</definedName>
    <definedName name="Z_989049C6_36EC_4AFA_B9D7_1E97C4FB16D4_.wvu.PrintArea" localSheetId="20" hidden="1">DTI!$A$1:$F$74</definedName>
    <definedName name="Z_989049C6_36EC_4AFA_B9D7_1E97C4FB16D4_.wvu.PrintArea" localSheetId="26" hidden="1">JLEC!$A$1:$F$18</definedName>
    <definedName name="Z_989049C6_36EC_4AFA_B9D7_1E97C4FB16D4_.wvu.PrintArea" localSheetId="27" hidden="1">JUDICIARY!$A$1:$F$63</definedName>
    <definedName name="Z_989049C6_36EC_4AFA_B9D7_1E97C4FB16D4_.wvu.PrintArea" localSheetId="22" hidden="1">NEDA!$A$1:$F$81</definedName>
    <definedName name="Z_989049C6_36EC_4AFA_B9D7_1E97C4FB16D4_.wvu.PrintArea" localSheetId="24" hidden="1">OEO!$A$1:$F$335</definedName>
    <definedName name="Z_989049C6_36EC_4AFA_B9D7_1E97C4FB16D4_.wvu.PrintArea" localSheetId="31" hidden="1">OMB!$A$1:$F$18</definedName>
    <definedName name="Z_989049C6_36EC_4AFA_B9D7_1E97C4FB16D4_.wvu.PrintArea" localSheetId="1" hidden="1">OP!$A$1:$F$18</definedName>
    <definedName name="Z_989049C6_36EC_4AFA_B9D7_1E97C4FB16D4_.wvu.PrintArea" localSheetId="2" hidden="1">OVP!$A$1:$F$18</definedName>
    <definedName name="Z_989049C6_36EC_4AFA_B9D7_1E97C4FB16D4_.wvu.PrintArea" localSheetId="23" hidden="1">PCOO!$A$1:$F$81</definedName>
    <definedName name="Z_989049C6_36EC_4AFA_B9D7_1E97C4FB16D4_.wvu.PrintTitles" localSheetId="25" hidden="1">ARMM!$1:$8</definedName>
    <definedName name="Z_989049C6_36EC_4AFA_B9D7_1E97C4FB16D4_.wvu.PrintTitles" localSheetId="33" hidden="1">'By SUCs'!$1:$7</definedName>
    <definedName name="Z_989049C6_36EC_4AFA_B9D7_1E97C4FB16D4_.wvu.PrintTitles" localSheetId="32" hidden="1">CHR!$1:$8</definedName>
    <definedName name="Z_989049C6_36EC_4AFA_B9D7_1E97C4FB16D4_.wvu.PrintTitles" localSheetId="29" hidden="1">COA!$1:$8</definedName>
    <definedName name="Z_989049C6_36EC_4AFA_B9D7_1E97C4FB16D4_.wvu.PrintTitles" localSheetId="30" hidden="1">COMELEC!$1:$8</definedName>
    <definedName name="Z_989049C6_36EC_4AFA_B9D7_1E97C4FB16D4_.wvu.PrintTitles" localSheetId="0" hidden="1">CONGRESS!$1:$8</definedName>
    <definedName name="Z_989049C6_36EC_4AFA_B9D7_1E97C4FB16D4_.wvu.PrintTitles" localSheetId="28" hidden="1">CSC!$1:$8</definedName>
    <definedName name="Z_989049C6_36EC_4AFA_B9D7_1E97C4FB16D4_.wvu.PrintTitles" localSheetId="4" hidden="1">DA!$1:$8</definedName>
    <definedName name="Z_989049C6_36EC_4AFA_B9D7_1E97C4FB16D4_.wvu.PrintTitles" localSheetId="3" hidden="1">DAR!$1:$8</definedName>
    <definedName name="Z_989049C6_36EC_4AFA_B9D7_1E97C4FB16D4_.wvu.PrintTitles" localSheetId="5" hidden="1">DBM!$1:$8</definedName>
    <definedName name="Z_989049C6_36EC_4AFA_B9D7_1E97C4FB16D4_.wvu.PrintTitles" localSheetId="8" hidden="1">DENR!$1:$8</definedName>
    <definedName name="Z_989049C6_36EC_4AFA_B9D7_1E97C4FB16D4_.wvu.PrintTitles" localSheetId="6" hidden="1">DEPED!$1:$8</definedName>
    <definedName name="Z_989049C6_36EC_4AFA_B9D7_1E97C4FB16D4_.wvu.PrintTitles" localSheetId="10" hidden="1">DFA!$1:$8</definedName>
    <definedName name="Z_989049C6_36EC_4AFA_B9D7_1E97C4FB16D4_.wvu.PrintTitles" localSheetId="12" hidden="1">DILG!$1:$8</definedName>
    <definedName name="Z_989049C6_36EC_4AFA_B9D7_1E97C4FB16D4_.wvu.PrintTitles" localSheetId="15" hidden="1">DND!$1:$8</definedName>
    <definedName name="Z_989049C6_36EC_4AFA_B9D7_1E97C4FB16D4_.wvu.PrintTitles" localSheetId="7" hidden="1">DOE!$1:$8</definedName>
    <definedName name="Z_989049C6_36EC_4AFA_B9D7_1E97C4FB16D4_.wvu.PrintTitles" localSheetId="9" hidden="1">DOF!$1:$8</definedName>
    <definedName name="Z_989049C6_36EC_4AFA_B9D7_1E97C4FB16D4_.wvu.PrintTitles" localSheetId="11" hidden="1">DOH!$1:$8</definedName>
    <definedName name="Z_989049C6_36EC_4AFA_B9D7_1E97C4FB16D4_.wvu.PrintTitles" localSheetId="13" hidden="1">DOJ!$1:$8</definedName>
    <definedName name="Z_989049C6_36EC_4AFA_B9D7_1E97C4FB16D4_.wvu.PrintTitles" localSheetId="14" hidden="1">DOLE!$1:$8</definedName>
    <definedName name="Z_989049C6_36EC_4AFA_B9D7_1E97C4FB16D4_.wvu.PrintTitles" localSheetId="17" hidden="1">DOST!$1:$8</definedName>
    <definedName name="Z_989049C6_36EC_4AFA_B9D7_1E97C4FB16D4_.wvu.PrintTitles" localSheetId="19" hidden="1">DOT!$1:$8</definedName>
    <definedName name="Z_989049C6_36EC_4AFA_B9D7_1E97C4FB16D4_.wvu.PrintTitles" localSheetId="21" hidden="1">DOTC!$1:$8</definedName>
    <definedName name="Z_989049C6_36EC_4AFA_B9D7_1E97C4FB16D4_.wvu.PrintTitles" localSheetId="16" hidden="1">DPWH!$1:$8</definedName>
    <definedName name="Z_989049C6_36EC_4AFA_B9D7_1E97C4FB16D4_.wvu.PrintTitles" localSheetId="18" hidden="1">DSWD!$1:$8</definedName>
    <definedName name="Z_989049C6_36EC_4AFA_B9D7_1E97C4FB16D4_.wvu.PrintTitles" localSheetId="20" hidden="1">DTI!$1:$8</definedName>
    <definedName name="Z_989049C6_36EC_4AFA_B9D7_1E97C4FB16D4_.wvu.PrintTitles" localSheetId="26" hidden="1">JLEC!$1:$8</definedName>
    <definedName name="Z_989049C6_36EC_4AFA_B9D7_1E97C4FB16D4_.wvu.PrintTitles" localSheetId="27" hidden="1">JUDICIARY!$1:$8</definedName>
    <definedName name="Z_989049C6_36EC_4AFA_B9D7_1E97C4FB16D4_.wvu.PrintTitles" localSheetId="22" hidden="1">NEDA!$1:$8</definedName>
    <definedName name="Z_989049C6_36EC_4AFA_B9D7_1E97C4FB16D4_.wvu.PrintTitles" localSheetId="24" hidden="1">OEO!$1:$8</definedName>
    <definedName name="Z_989049C6_36EC_4AFA_B9D7_1E97C4FB16D4_.wvu.PrintTitles" localSheetId="31" hidden="1">OMB!$1:$8</definedName>
    <definedName name="Z_989049C6_36EC_4AFA_B9D7_1E97C4FB16D4_.wvu.PrintTitles" localSheetId="1" hidden="1">OP!$1:$8</definedName>
    <definedName name="Z_989049C6_36EC_4AFA_B9D7_1E97C4FB16D4_.wvu.PrintTitles" localSheetId="2" hidden="1">OVP!$1:$8</definedName>
    <definedName name="Z_989049C6_36EC_4AFA_B9D7_1E97C4FB16D4_.wvu.PrintTitles" localSheetId="23" hidden="1">PCOO!$1:$8</definedName>
    <definedName name="Z_989049C6_36EC_4AFA_B9D7_1E97C4FB16D4_.wvu.Rows" localSheetId="25" hidden="1">ARMM!#REF!</definedName>
    <definedName name="Z_989049C6_36EC_4AFA_B9D7_1E97C4FB16D4_.wvu.Rows" localSheetId="32" hidden="1">CHR!#REF!</definedName>
    <definedName name="Z_989049C6_36EC_4AFA_B9D7_1E97C4FB16D4_.wvu.Rows" localSheetId="29" hidden="1">COA!#REF!</definedName>
    <definedName name="Z_989049C6_36EC_4AFA_B9D7_1E97C4FB16D4_.wvu.Rows" localSheetId="30" hidden="1">COMELEC!#REF!</definedName>
    <definedName name="Z_989049C6_36EC_4AFA_B9D7_1E97C4FB16D4_.wvu.Rows" localSheetId="0" hidden="1">CONGRESS!#REF!</definedName>
    <definedName name="Z_989049C6_36EC_4AFA_B9D7_1E97C4FB16D4_.wvu.Rows" localSheetId="28" hidden="1">CSC!#REF!</definedName>
    <definedName name="Z_989049C6_36EC_4AFA_B9D7_1E97C4FB16D4_.wvu.Rows" localSheetId="4" hidden="1">DA!#REF!</definedName>
    <definedName name="Z_989049C6_36EC_4AFA_B9D7_1E97C4FB16D4_.wvu.Rows" localSheetId="3" hidden="1">DAR!#REF!</definedName>
    <definedName name="Z_989049C6_36EC_4AFA_B9D7_1E97C4FB16D4_.wvu.Rows" localSheetId="5" hidden="1">DBM!#REF!</definedName>
    <definedName name="Z_989049C6_36EC_4AFA_B9D7_1E97C4FB16D4_.wvu.Rows" localSheetId="8" hidden="1">DENR!#REF!</definedName>
    <definedName name="Z_989049C6_36EC_4AFA_B9D7_1E97C4FB16D4_.wvu.Rows" localSheetId="6" hidden="1">DEPED!#REF!</definedName>
    <definedName name="Z_989049C6_36EC_4AFA_B9D7_1E97C4FB16D4_.wvu.Rows" localSheetId="10" hidden="1">DFA!#REF!</definedName>
    <definedName name="Z_989049C6_36EC_4AFA_B9D7_1E97C4FB16D4_.wvu.Rows" localSheetId="12" hidden="1">DILG!#REF!</definedName>
    <definedName name="Z_989049C6_36EC_4AFA_B9D7_1E97C4FB16D4_.wvu.Rows" localSheetId="15" hidden="1">DND!#REF!</definedName>
    <definedName name="Z_989049C6_36EC_4AFA_B9D7_1E97C4FB16D4_.wvu.Rows" localSheetId="7" hidden="1">DOE!#REF!</definedName>
    <definedName name="Z_989049C6_36EC_4AFA_B9D7_1E97C4FB16D4_.wvu.Rows" localSheetId="9" hidden="1">DOF!#REF!</definedName>
    <definedName name="Z_989049C6_36EC_4AFA_B9D7_1E97C4FB16D4_.wvu.Rows" localSheetId="11" hidden="1">DOH!#REF!</definedName>
    <definedName name="Z_989049C6_36EC_4AFA_B9D7_1E97C4FB16D4_.wvu.Rows" localSheetId="13" hidden="1">DOJ!#REF!</definedName>
    <definedName name="Z_989049C6_36EC_4AFA_B9D7_1E97C4FB16D4_.wvu.Rows" localSheetId="14" hidden="1">DOLE!#REF!</definedName>
    <definedName name="Z_989049C6_36EC_4AFA_B9D7_1E97C4FB16D4_.wvu.Rows" localSheetId="17" hidden="1">DOST!#REF!</definedName>
    <definedName name="Z_989049C6_36EC_4AFA_B9D7_1E97C4FB16D4_.wvu.Rows" localSheetId="19" hidden="1">DOT!#REF!</definedName>
    <definedName name="Z_989049C6_36EC_4AFA_B9D7_1E97C4FB16D4_.wvu.Rows" localSheetId="21" hidden="1">DOTC!#REF!</definedName>
    <definedName name="Z_989049C6_36EC_4AFA_B9D7_1E97C4FB16D4_.wvu.Rows" localSheetId="16" hidden="1">DPWH!#REF!</definedName>
    <definedName name="Z_989049C6_36EC_4AFA_B9D7_1E97C4FB16D4_.wvu.Rows" localSheetId="18" hidden="1">DSWD!#REF!</definedName>
    <definedName name="Z_989049C6_36EC_4AFA_B9D7_1E97C4FB16D4_.wvu.Rows" localSheetId="20" hidden="1">DTI!#REF!</definedName>
    <definedName name="Z_989049C6_36EC_4AFA_B9D7_1E97C4FB16D4_.wvu.Rows" localSheetId="26" hidden="1">JLEC!#REF!</definedName>
    <definedName name="Z_989049C6_36EC_4AFA_B9D7_1E97C4FB16D4_.wvu.Rows" localSheetId="27" hidden="1">JUDICIARY!#REF!</definedName>
    <definedName name="Z_989049C6_36EC_4AFA_B9D7_1E97C4FB16D4_.wvu.Rows" localSheetId="22" hidden="1">NEDA!#REF!</definedName>
    <definedName name="Z_989049C6_36EC_4AFA_B9D7_1E97C4FB16D4_.wvu.Rows" localSheetId="24" hidden="1">OEO!#REF!</definedName>
    <definedName name="Z_989049C6_36EC_4AFA_B9D7_1E97C4FB16D4_.wvu.Rows" localSheetId="31" hidden="1">OMB!#REF!</definedName>
    <definedName name="Z_989049C6_36EC_4AFA_B9D7_1E97C4FB16D4_.wvu.Rows" localSheetId="1" hidden="1">OP!#REF!</definedName>
    <definedName name="Z_989049C6_36EC_4AFA_B9D7_1E97C4FB16D4_.wvu.Rows" localSheetId="2" hidden="1">OVP!#REF!</definedName>
    <definedName name="Z_989049C6_36EC_4AFA_B9D7_1E97C4FB16D4_.wvu.Rows" localSheetId="23" hidden="1">PCOO!#REF!</definedName>
    <definedName name="Z_A36966C3_2B91_49EA_8368_0F103F951C33_.wvu.Cols" localSheetId="33" hidden="1">'By SUCs'!#REF!,'By SUCs'!#REF!,'By SUCs'!#REF!,'By SUCs'!#REF!</definedName>
    <definedName name="Z_A36966C3_2B91_49EA_8368_0F103F951C33_.wvu.PrintArea" localSheetId="33" hidden="1">'By SUCs'!$A$9:$A$1386</definedName>
    <definedName name="Z_A36966C3_2B91_49EA_8368_0F103F951C33_.wvu.PrintTitles" localSheetId="33" hidden="1">'By SUCs'!$1:$8</definedName>
    <definedName name="Z_A36966C3_2B91_49EA_8368_0F103F951C33_.wvu.Rows" localSheetId="33" hidden="1">'By SUCs'!#REF!,'By SUCs'!#REF!,'By SUCs'!#REF!,'By SUCs'!#REF!,'By SUCs'!#REF!,'By SUCs'!$1320:$1320,'By SUCs'!#REF!,'By SUCs'!#REF!,'By SUCs'!#REF!,'By SUCs'!#REF!,'By SUCs'!$1350:$1350,'By SUCs'!#REF!,'By SUCs'!#REF!,'By SUCs'!#REF!,'By SUCs'!#REF!,'By SUCs'!#REF!,'By SUCs'!#REF!</definedName>
    <definedName name="Z_BFBFB881_CBA4_4948_ADC7_895EF6F552EF_.wvu.PrintArea" localSheetId="25" hidden="1">ARMM!$A$10:$A$18</definedName>
    <definedName name="Z_BFBFB881_CBA4_4948_ADC7_895EF6F552EF_.wvu.PrintArea" localSheetId="32" hidden="1">CHR!$A$10:$A$18</definedName>
    <definedName name="Z_BFBFB881_CBA4_4948_ADC7_895EF6F552EF_.wvu.PrintArea" localSheetId="29" hidden="1">COA!$A$10:$A$18</definedName>
    <definedName name="Z_BFBFB881_CBA4_4948_ADC7_895EF6F552EF_.wvu.PrintArea" localSheetId="30" hidden="1">COMELEC!$A$10:$A$18</definedName>
    <definedName name="Z_BFBFB881_CBA4_4948_ADC7_895EF6F552EF_.wvu.PrintArea" localSheetId="0" hidden="1">CONGRESS!$A$10:$A$63</definedName>
    <definedName name="Z_BFBFB881_CBA4_4948_ADC7_895EF6F552EF_.wvu.PrintArea" localSheetId="28" hidden="1">CSC!$A$10:$A$36</definedName>
    <definedName name="Z_BFBFB881_CBA4_4948_ADC7_895EF6F552EF_.wvu.PrintArea" localSheetId="4" hidden="1">DA!$A$10:$A$120</definedName>
    <definedName name="Z_BFBFB881_CBA4_4948_ADC7_895EF6F552EF_.wvu.PrintArea" localSheetId="3" hidden="1">DAR!$A$10:$A$18</definedName>
    <definedName name="Z_BFBFB881_CBA4_4948_ADC7_895EF6F552EF_.wvu.PrintArea" localSheetId="5" hidden="1">DBM!$A$10:$A$36</definedName>
    <definedName name="Z_BFBFB881_CBA4_4948_ADC7_895EF6F552EF_.wvu.PrintArea" localSheetId="8" hidden="1">DENR!$A$10:$A$72</definedName>
    <definedName name="Z_BFBFB881_CBA4_4948_ADC7_895EF6F552EF_.wvu.PrintArea" localSheetId="6" hidden="1">DEPED!$A$10:$A$74</definedName>
    <definedName name="Z_BFBFB881_CBA4_4948_ADC7_895EF6F552EF_.wvu.PrintArea" localSheetId="10" hidden="1">DFA!$A$10:$A$54</definedName>
    <definedName name="Z_BFBFB881_CBA4_4948_ADC7_895EF6F552EF_.wvu.PrintArea" localSheetId="12" hidden="1">DILG!$A$10:$A$83</definedName>
    <definedName name="Z_BFBFB881_CBA4_4948_ADC7_895EF6F552EF_.wvu.PrintArea" localSheetId="15" hidden="1">DND!$A$10:$A$108</definedName>
    <definedName name="Z_BFBFB881_CBA4_4948_ADC7_895EF6F552EF_.wvu.PrintArea" localSheetId="7" hidden="1">DOE!$A$10:$A$18</definedName>
    <definedName name="Z_BFBFB881_CBA4_4948_ADC7_895EF6F552EF_.wvu.PrintArea" localSheetId="9" hidden="1">DOF!$A$10:$A$117</definedName>
    <definedName name="Z_BFBFB881_CBA4_4948_ADC7_895EF6F552EF_.wvu.PrintArea" localSheetId="11" hidden="1">DOH!$A$10:$A$47</definedName>
    <definedName name="Z_BFBFB881_CBA4_4948_ADC7_895EF6F552EF_.wvu.PrintArea" localSheetId="13" hidden="1">DOJ!$A$10:$A$110</definedName>
    <definedName name="Z_BFBFB881_CBA4_4948_ADC7_895EF6F552EF_.wvu.PrintArea" localSheetId="14" hidden="1">DOLE!$A$10:$A$102</definedName>
    <definedName name="Z_BFBFB881_CBA4_4948_ADC7_895EF6F552EF_.wvu.PrintArea" localSheetId="17" hidden="1">DOST!$A$10:$A$201</definedName>
    <definedName name="Z_BFBFB881_CBA4_4948_ADC7_895EF6F552EF_.wvu.PrintArea" localSheetId="19" hidden="1">DOT!$A$10:$A$45</definedName>
    <definedName name="Z_BFBFB881_CBA4_4948_ADC7_895EF6F552EF_.wvu.PrintArea" localSheetId="21" hidden="1">DOTC!$A$10:$A$84</definedName>
    <definedName name="Z_BFBFB881_CBA4_4948_ADC7_895EF6F552EF_.wvu.PrintArea" localSheetId="16" hidden="1">DPWH!$A$10:$A$19</definedName>
    <definedName name="Z_BFBFB881_CBA4_4948_ADC7_895EF6F552EF_.wvu.PrintArea" localSheetId="18" hidden="1">DSWD!$A$10:$A$65</definedName>
    <definedName name="Z_BFBFB881_CBA4_4948_ADC7_895EF6F552EF_.wvu.PrintArea" localSheetId="20" hidden="1">DTI!$A$10:$A$74</definedName>
    <definedName name="Z_BFBFB881_CBA4_4948_ADC7_895EF6F552EF_.wvu.PrintArea" localSheetId="26" hidden="1">JLEC!$A$10:$A$18</definedName>
    <definedName name="Z_BFBFB881_CBA4_4948_ADC7_895EF6F552EF_.wvu.PrintArea" localSheetId="27" hidden="1">JUDICIARY!$A$10:$A$63</definedName>
    <definedName name="Z_BFBFB881_CBA4_4948_ADC7_895EF6F552EF_.wvu.PrintArea" localSheetId="22" hidden="1">NEDA!$A$10:$A$81</definedName>
    <definedName name="Z_BFBFB881_CBA4_4948_ADC7_895EF6F552EF_.wvu.PrintArea" localSheetId="24" hidden="1">OEO!$A$10:$A$335</definedName>
    <definedName name="Z_BFBFB881_CBA4_4948_ADC7_895EF6F552EF_.wvu.PrintArea" localSheetId="31" hidden="1">OMB!$A$10:$A$18</definedName>
    <definedName name="Z_BFBFB881_CBA4_4948_ADC7_895EF6F552EF_.wvu.PrintArea" localSheetId="1" hidden="1">OP!$A$10:$A$18</definedName>
    <definedName name="Z_BFBFB881_CBA4_4948_ADC7_895EF6F552EF_.wvu.PrintArea" localSheetId="2" hidden="1">OVP!$A$10:$A$18</definedName>
    <definedName name="Z_BFBFB881_CBA4_4948_ADC7_895EF6F552EF_.wvu.PrintArea" localSheetId="23" hidden="1">PCOO!$A$10:$A$81</definedName>
    <definedName name="Z_BFBFB881_CBA4_4948_ADC7_895EF6F552EF_.wvu.PrintTitles" localSheetId="25" hidden="1">ARMM!$1:$9</definedName>
    <definedName name="Z_BFBFB881_CBA4_4948_ADC7_895EF6F552EF_.wvu.PrintTitles" localSheetId="32" hidden="1">CHR!$1:$9</definedName>
    <definedName name="Z_BFBFB881_CBA4_4948_ADC7_895EF6F552EF_.wvu.PrintTitles" localSheetId="29" hidden="1">COA!$1:$9</definedName>
    <definedName name="Z_BFBFB881_CBA4_4948_ADC7_895EF6F552EF_.wvu.PrintTitles" localSheetId="30" hidden="1">COMELEC!$1:$9</definedName>
    <definedName name="Z_BFBFB881_CBA4_4948_ADC7_895EF6F552EF_.wvu.PrintTitles" localSheetId="0" hidden="1">CONGRESS!$1:$9</definedName>
    <definedName name="Z_BFBFB881_CBA4_4948_ADC7_895EF6F552EF_.wvu.PrintTitles" localSheetId="28" hidden="1">CSC!$1:$9</definedName>
    <definedName name="Z_BFBFB881_CBA4_4948_ADC7_895EF6F552EF_.wvu.PrintTitles" localSheetId="4" hidden="1">DA!$1:$9</definedName>
    <definedName name="Z_BFBFB881_CBA4_4948_ADC7_895EF6F552EF_.wvu.PrintTitles" localSheetId="3" hidden="1">DAR!$1:$9</definedName>
    <definedName name="Z_BFBFB881_CBA4_4948_ADC7_895EF6F552EF_.wvu.PrintTitles" localSheetId="5" hidden="1">DBM!$1:$9</definedName>
    <definedName name="Z_BFBFB881_CBA4_4948_ADC7_895EF6F552EF_.wvu.PrintTitles" localSheetId="8" hidden="1">DENR!$1:$9</definedName>
    <definedName name="Z_BFBFB881_CBA4_4948_ADC7_895EF6F552EF_.wvu.PrintTitles" localSheetId="6" hidden="1">DEPED!$1:$9</definedName>
    <definedName name="Z_BFBFB881_CBA4_4948_ADC7_895EF6F552EF_.wvu.PrintTitles" localSheetId="10" hidden="1">DFA!$1:$9</definedName>
    <definedName name="Z_BFBFB881_CBA4_4948_ADC7_895EF6F552EF_.wvu.PrintTitles" localSheetId="12" hidden="1">DILG!$1:$9</definedName>
    <definedName name="Z_BFBFB881_CBA4_4948_ADC7_895EF6F552EF_.wvu.PrintTitles" localSheetId="15" hidden="1">DND!$1:$9</definedName>
    <definedName name="Z_BFBFB881_CBA4_4948_ADC7_895EF6F552EF_.wvu.PrintTitles" localSheetId="7" hidden="1">DOE!$1:$9</definedName>
    <definedName name="Z_BFBFB881_CBA4_4948_ADC7_895EF6F552EF_.wvu.PrintTitles" localSheetId="9" hidden="1">DOF!$1:$9</definedName>
    <definedName name="Z_BFBFB881_CBA4_4948_ADC7_895EF6F552EF_.wvu.PrintTitles" localSheetId="11" hidden="1">DOH!$1:$9</definedName>
    <definedName name="Z_BFBFB881_CBA4_4948_ADC7_895EF6F552EF_.wvu.PrintTitles" localSheetId="13" hidden="1">DOJ!$1:$9</definedName>
    <definedName name="Z_BFBFB881_CBA4_4948_ADC7_895EF6F552EF_.wvu.PrintTitles" localSheetId="14" hidden="1">DOLE!$1:$9</definedName>
    <definedName name="Z_BFBFB881_CBA4_4948_ADC7_895EF6F552EF_.wvu.PrintTitles" localSheetId="17" hidden="1">DOST!$1:$9</definedName>
    <definedName name="Z_BFBFB881_CBA4_4948_ADC7_895EF6F552EF_.wvu.PrintTitles" localSheetId="19" hidden="1">DOT!$1:$9</definedName>
    <definedName name="Z_BFBFB881_CBA4_4948_ADC7_895EF6F552EF_.wvu.PrintTitles" localSheetId="21" hidden="1">DOTC!$1:$9</definedName>
    <definedName name="Z_BFBFB881_CBA4_4948_ADC7_895EF6F552EF_.wvu.PrintTitles" localSheetId="16" hidden="1">DPWH!$1:$9</definedName>
    <definedName name="Z_BFBFB881_CBA4_4948_ADC7_895EF6F552EF_.wvu.PrintTitles" localSheetId="18" hidden="1">DSWD!$1:$9</definedName>
    <definedName name="Z_BFBFB881_CBA4_4948_ADC7_895EF6F552EF_.wvu.PrintTitles" localSheetId="20" hidden="1">DTI!$1:$9</definedName>
    <definedName name="Z_BFBFB881_CBA4_4948_ADC7_895EF6F552EF_.wvu.PrintTitles" localSheetId="26" hidden="1">JLEC!$1:$9</definedName>
    <definedName name="Z_BFBFB881_CBA4_4948_ADC7_895EF6F552EF_.wvu.PrintTitles" localSheetId="27" hidden="1">JUDICIARY!$1:$9</definedName>
    <definedName name="Z_BFBFB881_CBA4_4948_ADC7_895EF6F552EF_.wvu.PrintTitles" localSheetId="22" hidden="1">NEDA!$1:$9</definedName>
    <definedName name="Z_BFBFB881_CBA4_4948_ADC7_895EF6F552EF_.wvu.PrintTitles" localSheetId="24" hidden="1">OEO!$1:$9</definedName>
    <definedName name="Z_BFBFB881_CBA4_4948_ADC7_895EF6F552EF_.wvu.PrintTitles" localSheetId="31" hidden="1">OMB!$1:$9</definedName>
    <definedName name="Z_BFBFB881_CBA4_4948_ADC7_895EF6F552EF_.wvu.PrintTitles" localSheetId="1" hidden="1">OP!$1:$9</definedName>
    <definedName name="Z_BFBFB881_CBA4_4948_ADC7_895EF6F552EF_.wvu.PrintTitles" localSheetId="2" hidden="1">OVP!$1:$9</definedName>
    <definedName name="Z_BFBFB881_CBA4_4948_ADC7_895EF6F552EF_.wvu.PrintTitles" localSheetId="23" hidden="1">PCOO!$1:$9</definedName>
    <definedName name="Z_D22E13AA_012F_4EE3_8B8E_0BC4B97498E3_.wvu.Cols" localSheetId="33" hidden="1">'By SUCs'!$B:$D</definedName>
    <definedName name="Z_D22E13AA_012F_4EE3_8B8E_0BC4B97498E3_.wvu.PrintArea" localSheetId="25" hidden="1">ARMM!$A$1:$F$18</definedName>
    <definedName name="Z_D22E13AA_012F_4EE3_8B8E_0BC4B97498E3_.wvu.PrintArea" localSheetId="33" hidden="1">'By SUCs'!$A$1:$H$1184</definedName>
    <definedName name="Z_D22E13AA_012F_4EE3_8B8E_0BC4B97498E3_.wvu.PrintArea" localSheetId="32" hidden="1">CHR!$A$1:$F$18</definedName>
    <definedName name="Z_D22E13AA_012F_4EE3_8B8E_0BC4B97498E3_.wvu.PrintArea" localSheetId="29" hidden="1">COA!$A$1:$F$18</definedName>
    <definedName name="Z_D22E13AA_012F_4EE3_8B8E_0BC4B97498E3_.wvu.PrintArea" localSheetId="30" hidden="1">COMELEC!$A$1:$F$18</definedName>
    <definedName name="Z_D22E13AA_012F_4EE3_8B8E_0BC4B97498E3_.wvu.PrintArea" localSheetId="0" hidden="1">CONGRESS!$A$1:$F$63</definedName>
    <definedName name="Z_D22E13AA_012F_4EE3_8B8E_0BC4B97498E3_.wvu.PrintArea" localSheetId="28" hidden="1">CSC!$A$1:$F$36</definedName>
    <definedName name="Z_D22E13AA_012F_4EE3_8B8E_0BC4B97498E3_.wvu.PrintArea" localSheetId="4" hidden="1">DA!$A$1:$F$120</definedName>
    <definedName name="Z_D22E13AA_012F_4EE3_8B8E_0BC4B97498E3_.wvu.PrintArea" localSheetId="3" hidden="1">DAR!$A$1:$F$18</definedName>
    <definedName name="Z_D22E13AA_012F_4EE3_8B8E_0BC4B97498E3_.wvu.PrintArea" localSheetId="5" hidden="1">DBM!$A$1:$F$36</definedName>
    <definedName name="Z_D22E13AA_012F_4EE3_8B8E_0BC4B97498E3_.wvu.PrintArea" localSheetId="8" hidden="1">DENR!$A$1:$F$72</definedName>
    <definedName name="Z_D22E13AA_012F_4EE3_8B8E_0BC4B97498E3_.wvu.PrintArea" localSheetId="6" hidden="1">DEPED!$A$1:$F$74</definedName>
    <definedName name="Z_D22E13AA_012F_4EE3_8B8E_0BC4B97498E3_.wvu.PrintArea" localSheetId="10" hidden="1">DFA!$A$1:$F$54</definedName>
    <definedName name="Z_D22E13AA_012F_4EE3_8B8E_0BC4B97498E3_.wvu.PrintArea" localSheetId="12" hidden="1">DILG!$A$1:$F$83</definedName>
    <definedName name="Z_D22E13AA_012F_4EE3_8B8E_0BC4B97498E3_.wvu.PrintArea" localSheetId="15" hidden="1">DND!$A$1:$F$108</definedName>
    <definedName name="Z_D22E13AA_012F_4EE3_8B8E_0BC4B97498E3_.wvu.PrintArea" localSheetId="7" hidden="1">DOE!$A$1:$F$18</definedName>
    <definedName name="Z_D22E13AA_012F_4EE3_8B8E_0BC4B97498E3_.wvu.PrintArea" localSheetId="9" hidden="1">DOF!$A$1:$F$117</definedName>
    <definedName name="Z_D22E13AA_012F_4EE3_8B8E_0BC4B97498E3_.wvu.PrintArea" localSheetId="11" hidden="1">DOH!$A$1:$F$47</definedName>
    <definedName name="Z_D22E13AA_012F_4EE3_8B8E_0BC4B97498E3_.wvu.PrintArea" localSheetId="13" hidden="1">DOJ!$A$1:$F$110</definedName>
    <definedName name="Z_D22E13AA_012F_4EE3_8B8E_0BC4B97498E3_.wvu.PrintArea" localSheetId="14" hidden="1">DOLE!$A$1:$F$102</definedName>
    <definedName name="Z_D22E13AA_012F_4EE3_8B8E_0BC4B97498E3_.wvu.PrintArea" localSheetId="17" hidden="1">DOST!$A$1:$F$201</definedName>
    <definedName name="Z_D22E13AA_012F_4EE3_8B8E_0BC4B97498E3_.wvu.PrintArea" localSheetId="19" hidden="1">DOT!$A$1:$F$45</definedName>
    <definedName name="Z_D22E13AA_012F_4EE3_8B8E_0BC4B97498E3_.wvu.PrintArea" localSheetId="21" hidden="1">DOTC!$A$1:$F$84</definedName>
    <definedName name="Z_D22E13AA_012F_4EE3_8B8E_0BC4B97498E3_.wvu.PrintArea" localSheetId="16" hidden="1">DPWH!$A$1:$F$19</definedName>
    <definedName name="Z_D22E13AA_012F_4EE3_8B8E_0BC4B97498E3_.wvu.PrintArea" localSheetId="18" hidden="1">DSWD!$A$1:$F$65</definedName>
    <definedName name="Z_D22E13AA_012F_4EE3_8B8E_0BC4B97498E3_.wvu.PrintArea" localSheetId="20" hidden="1">DTI!$A$1:$F$74</definedName>
    <definedName name="Z_D22E13AA_012F_4EE3_8B8E_0BC4B97498E3_.wvu.PrintArea" localSheetId="26" hidden="1">JLEC!$A$1:$F$18</definedName>
    <definedName name="Z_D22E13AA_012F_4EE3_8B8E_0BC4B97498E3_.wvu.PrintArea" localSheetId="27" hidden="1">JUDICIARY!$A$1:$F$63</definedName>
    <definedName name="Z_D22E13AA_012F_4EE3_8B8E_0BC4B97498E3_.wvu.PrintArea" localSheetId="22" hidden="1">NEDA!$A$1:$F$81</definedName>
    <definedName name="Z_D22E13AA_012F_4EE3_8B8E_0BC4B97498E3_.wvu.PrintArea" localSheetId="24" hidden="1">OEO!$A$1:$F$335</definedName>
    <definedName name="Z_D22E13AA_012F_4EE3_8B8E_0BC4B97498E3_.wvu.PrintArea" localSheetId="31" hidden="1">OMB!$A$1:$F$18</definedName>
    <definedName name="Z_D22E13AA_012F_4EE3_8B8E_0BC4B97498E3_.wvu.PrintArea" localSheetId="1" hidden="1">OP!$A$1:$F$18</definedName>
    <definedName name="Z_D22E13AA_012F_4EE3_8B8E_0BC4B97498E3_.wvu.PrintArea" localSheetId="2" hidden="1">OVP!$A$1:$F$18</definedName>
    <definedName name="Z_D22E13AA_012F_4EE3_8B8E_0BC4B97498E3_.wvu.PrintArea" localSheetId="23" hidden="1">PCOO!$A$1:$F$81</definedName>
    <definedName name="Z_D22E13AA_012F_4EE3_8B8E_0BC4B97498E3_.wvu.PrintTitles" localSheetId="25" hidden="1">ARMM!$1:$8</definedName>
    <definedName name="Z_D22E13AA_012F_4EE3_8B8E_0BC4B97498E3_.wvu.PrintTitles" localSheetId="33" hidden="1">'By SUCs'!$1:$7</definedName>
    <definedName name="Z_D22E13AA_012F_4EE3_8B8E_0BC4B97498E3_.wvu.PrintTitles" localSheetId="32" hidden="1">CHR!$1:$8</definedName>
    <definedName name="Z_D22E13AA_012F_4EE3_8B8E_0BC4B97498E3_.wvu.PrintTitles" localSheetId="29" hidden="1">COA!$1:$8</definedName>
    <definedName name="Z_D22E13AA_012F_4EE3_8B8E_0BC4B97498E3_.wvu.PrintTitles" localSheetId="30" hidden="1">COMELEC!$1:$8</definedName>
    <definedName name="Z_D22E13AA_012F_4EE3_8B8E_0BC4B97498E3_.wvu.PrintTitles" localSheetId="0" hidden="1">CONGRESS!$1:$8</definedName>
    <definedName name="Z_D22E13AA_012F_4EE3_8B8E_0BC4B97498E3_.wvu.PrintTitles" localSheetId="28" hidden="1">CSC!$1:$8</definedName>
    <definedName name="Z_D22E13AA_012F_4EE3_8B8E_0BC4B97498E3_.wvu.PrintTitles" localSheetId="4" hidden="1">DA!$1:$8</definedName>
    <definedName name="Z_D22E13AA_012F_4EE3_8B8E_0BC4B97498E3_.wvu.PrintTitles" localSheetId="3" hidden="1">DAR!$1:$8</definedName>
    <definedName name="Z_D22E13AA_012F_4EE3_8B8E_0BC4B97498E3_.wvu.PrintTitles" localSheetId="5" hidden="1">DBM!$1:$8</definedName>
    <definedName name="Z_D22E13AA_012F_4EE3_8B8E_0BC4B97498E3_.wvu.PrintTitles" localSheetId="8" hidden="1">DENR!$1:$8</definedName>
    <definedName name="Z_D22E13AA_012F_4EE3_8B8E_0BC4B97498E3_.wvu.PrintTitles" localSheetId="6" hidden="1">DEPED!$1:$8</definedName>
    <definedName name="Z_D22E13AA_012F_4EE3_8B8E_0BC4B97498E3_.wvu.PrintTitles" localSheetId="10" hidden="1">DFA!$1:$8</definedName>
    <definedName name="Z_D22E13AA_012F_4EE3_8B8E_0BC4B97498E3_.wvu.PrintTitles" localSheetId="12" hidden="1">DILG!$1:$8</definedName>
    <definedName name="Z_D22E13AA_012F_4EE3_8B8E_0BC4B97498E3_.wvu.PrintTitles" localSheetId="15" hidden="1">DND!$1:$8</definedName>
    <definedName name="Z_D22E13AA_012F_4EE3_8B8E_0BC4B97498E3_.wvu.PrintTitles" localSheetId="7" hidden="1">DOE!$1:$8</definedName>
    <definedName name="Z_D22E13AA_012F_4EE3_8B8E_0BC4B97498E3_.wvu.PrintTitles" localSheetId="9" hidden="1">DOF!$1:$8</definedName>
    <definedName name="Z_D22E13AA_012F_4EE3_8B8E_0BC4B97498E3_.wvu.PrintTitles" localSheetId="11" hidden="1">DOH!$1:$8</definedName>
    <definedName name="Z_D22E13AA_012F_4EE3_8B8E_0BC4B97498E3_.wvu.PrintTitles" localSheetId="13" hidden="1">DOJ!$1:$8</definedName>
    <definedName name="Z_D22E13AA_012F_4EE3_8B8E_0BC4B97498E3_.wvu.PrintTitles" localSheetId="14" hidden="1">DOLE!$1:$8</definedName>
    <definedName name="Z_D22E13AA_012F_4EE3_8B8E_0BC4B97498E3_.wvu.PrintTitles" localSheetId="17" hidden="1">DOST!$1:$8</definedName>
    <definedName name="Z_D22E13AA_012F_4EE3_8B8E_0BC4B97498E3_.wvu.PrintTitles" localSheetId="19" hidden="1">DOT!$1:$8</definedName>
    <definedName name="Z_D22E13AA_012F_4EE3_8B8E_0BC4B97498E3_.wvu.PrintTitles" localSheetId="21" hidden="1">DOTC!$1:$8</definedName>
    <definedName name="Z_D22E13AA_012F_4EE3_8B8E_0BC4B97498E3_.wvu.PrintTitles" localSheetId="16" hidden="1">DPWH!$1:$8</definedName>
    <definedName name="Z_D22E13AA_012F_4EE3_8B8E_0BC4B97498E3_.wvu.PrintTitles" localSheetId="18" hidden="1">DSWD!$1:$8</definedName>
    <definedName name="Z_D22E13AA_012F_4EE3_8B8E_0BC4B97498E3_.wvu.PrintTitles" localSheetId="20" hidden="1">DTI!$1:$8</definedName>
    <definedName name="Z_D22E13AA_012F_4EE3_8B8E_0BC4B97498E3_.wvu.PrintTitles" localSheetId="26" hidden="1">JLEC!$1:$8</definedName>
    <definedName name="Z_D22E13AA_012F_4EE3_8B8E_0BC4B97498E3_.wvu.PrintTitles" localSheetId="27" hidden="1">JUDICIARY!$1:$8</definedName>
    <definedName name="Z_D22E13AA_012F_4EE3_8B8E_0BC4B97498E3_.wvu.PrintTitles" localSheetId="22" hidden="1">NEDA!$1:$8</definedName>
    <definedName name="Z_D22E13AA_012F_4EE3_8B8E_0BC4B97498E3_.wvu.PrintTitles" localSheetId="24" hidden="1">OEO!$1:$8</definedName>
    <definedName name="Z_D22E13AA_012F_4EE3_8B8E_0BC4B97498E3_.wvu.PrintTitles" localSheetId="31" hidden="1">OMB!$1:$8</definedName>
    <definedName name="Z_D22E13AA_012F_4EE3_8B8E_0BC4B97498E3_.wvu.PrintTitles" localSheetId="1" hidden="1">OP!$1:$8</definedName>
    <definedName name="Z_D22E13AA_012F_4EE3_8B8E_0BC4B97498E3_.wvu.PrintTitles" localSheetId="2" hidden="1">OVP!$1:$8</definedName>
    <definedName name="Z_D22E13AA_012F_4EE3_8B8E_0BC4B97498E3_.wvu.PrintTitles" localSheetId="23" hidden="1">PCOO!$1:$8</definedName>
    <definedName name="Z_D22E13AA_012F_4EE3_8B8E_0BC4B97498E3_.wvu.Rows" localSheetId="25" hidden="1">ARMM!#REF!</definedName>
    <definedName name="Z_D22E13AA_012F_4EE3_8B8E_0BC4B97498E3_.wvu.Rows" localSheetId="32" hidden="1">CHR!#REF!</definedName>
    <definedName name="Z_D22E13AA_012F_4EE3_8B8E_0BC4B97498E3_.wvu.Rows" localSheetId="29" hidden="1">COA!#REF!</definedName>
    <definedName name="Z_D22E13AA_012F_4EE3_8B8E_0BC4B97498E3_.wvu.Rows" localSheetId="30" hidden="1">COMELEC!#REF!</definedName>
    <definedName name="Z_D22E13AA_012F_4EE3_8B8E_0BC4B97498E3_.wvu.Rows" localSheetId="0" hidden="1">CONGRESS!#REF!</definedName>
    <definedName name="Z_D22E13AA_012F_4EE3_8B8E_0BC4B97498E3_.wvu.Rows" localSheetId="28" hidden="1">CSC!#REF!</definedName>
    <definedName name="Z_D22E13AA_012F_4EE3_8B8E_0BC4B97498E3_.wvu.Rows" localSheetId="4" hidden="1">DA!#REF!</definedName>
    <definedName name="Z_D22E13AA_012F_4EE3_8B8E_0BC4B97498E3_.wvu.Rows" localSheetId="3" hidden="1">DAR!#REF!</definedName>
    <definedName name="Z_D22E13AA_012F_4EE3_8B8E_0BC4B97498E3_.wvu.Rows" localSheetId="5" hidden="1">DBM!#REF!</definedName>
    <definedName name="Z_D22E13AA_012F_4EE3_8B8E_0BC4B97498E3_.wvu.Rows" localSheetId="8" hidden="1">DENR!#REF!</definedName>
    <definedName name="Z_D22E13AA_012F_4EE3_8B8E_0BC4B97498E3_.wvu.Rows" localSheetId="6" hidden="1">DEPED!#REF!</definedName>
    <definedName name="Z_D22E13AA_012F_4EE3_8B8E_0BC4B97498E3_.wvu.Rows" localSheetId="10" hidden="1">DFA!#REF!</definedName>
    <definedName name="Z_D22E13AA_012F_4EE3_8B8E_0BC4B97498E3_.wvu.Rows" localSheetId="12" hidden="1">DILG!#REF!</definedName>
    <definedName name="Z_D22E13AA_012F_4EE3_8B8E_0BC4B97498E3_.wvu.Rows" localSheetId="15" hidden="1">DND!#REF!</definedName>
    <definedName name="Z_D22E13AA_012F_4EE3_8B8E_0BC4B97498E3_.wvu.Rows" localSheetId="7" hidden="1">DOE!#REF!</definedName>
    <definedName name="Z_D22E13AA_012F_4EE3_8B8E_0BC4B97498E3_.wvu.Rows" localSheetId="9" hidden="1">DOF!#REF!</definedName>
    <definedName name="Z_D22E13AA_012F_4EE3_8B8E_0BC4B97498E3_.wvu.Rows" localSheetId="11" hidden="1">DOH!#REF!</definedName>
    <definedName name="Z_D22E13AA_012F_4EE3_8B8E_0BC4B97498E3_.wvu.Rows" localSheetId="13" hidden="1">DOJ!#REF!</definedName>
    <definedName name="Z_D22E13AA_012F_4EE3_8B8E_0BC4B97498E3_.wvu.Rows" localSheetId="14" hidden="1">DOLE!#REF!</definedName>
    <definedName name="Z_D22E13AA_012F_4EE3_8B8E_0BC4B97498E3_.wvu.Rows" localSheetId="17" hidden="1">DOST!#REF!</definedName>
    <definedName name="Z_D22E13AA_012F_4EE3_8B8E_0BC4B97498E3_.wvu.Rows" localSheetId="19" hidden="1">DOT!#REF!</definedName>
    <definedName name="Z_D22E13AA_012F_4EE3_8B8E_0BC4B97498E3_.wvu.Rows" localSheetId="21" hidden="1">DOTC!#REF!</definedName>
    <definedName name="Z_D22E13AA_012F_4EE3_8B8E_0BC4B97498E3_.wvu.Rows" localSheetId="16" hidden="1">DPWH!#REF!</definedName>
    <definedName name="Z_D22E13AA_012F_4EE3_8B8E_0BC4B97498E3_.wvu.Rows" localSheetId="18" hidden="1">DSWD!#REF!</definedName>
    <definedName name="Z_D22E13AA_012F_4EE3_8B8E_0BC4B97498E3_.wvu.Rows" localSheetId="20" hidden="1">DTI!#REF!</definedName>
    <definedName name="Z_D22E13AA_012F_4EE3_8B8E_0BC4B97498E3_.wvu.Rows" localSheetId="26" hidden="1">JLEC!#REF!</definedName>
    <definedName name="Z_D22E13AA_012F_4EE3_8B8E_0BC4B97498E3_.wvu.Rows" localSheetId="27" hidden="1">JUDICIARY!#REF!</definedName>
    <definedName name="Z_D22E13AA_012F_4EE3_8B8E_0BC4B97498E3_.wvu.Rows" localSheetId="22" hidden="1">NEDA!#REF!</definedName>
    <definedName name="Z_D22E13AA_012F_4EE3_8B8E_0BC4B97498E3_.wvu.Rows" localSheetId="24" hidden="1">OEO!#REF!</definedName>
    <definedName name="Z_D22E13AA_012F_4EE3_8B8E_0BC4B97498E3_.wvu.Rows" localSheetId="31" hidden="1">OMB!#REF!</definedName>
    <definedName name="Z_D22E13AA_012F_4EE3_8B8E_0BC4B97498E3_.wvu.Rows" localSheetId="1" hidden="1">OP!#REF!</definedName>
    <definedName name="Z_D22E13AA_012F_4EE3_8B8E_0BC4B97498E3_.wvu.Rows" localSheetId="2" hidden="1">OVP!#REF!</definedName>
    <definedName name="Z_D22E13AA_012F_4EE3_8B8E_0BC4B97498E3_.wvu.Rows" localSheetId="23" hidden="1">PCOO!#REF!</definedName>
    <definedName name="Z_E00F9356_DF40_4827_9CB1_82ADBC6C7D97_.wvu.Cols" localSheetId="33" hidden="1">'By SUCs'!$B:$D</definedName>
    <definedName name="Z_E00F9356_DF40_4827_9CB1_82ADBC6C7D97_.wvu.PrintArea" localSheetId="25" hidden="1">ARMM!$A$1:$F$18</definedName>
    <definedName name="Z_E00F9356_DF40_4827_9CB1_82ADBC6C7D97_.wvu.PrintArea" localSheetId="33" hidden="1">'By SUCs'!$A$1:$H$1184</definedName>
    <definedName name="Z_E00F9356_DF40_4827_9CB1_82ADBC6C7D97_.wvu.PrintArea" localSheetId="32" hidden="1">CHR!$A$1:$F$18</definedName>
    <definedName name="Z_E00F9356_DF40_4827_9CB1_82ADBC6C7D97_.wvu.PrintArea" localSheetId="29" hidden="1">COA!$A$1:$F$18</definedName>
    <definedName name="Z_E00F9356_DF40_4827_9CB1_82ADBC6C7D97_.wvu.PrintArea" localSheetId="30" hidden="1">COMELEC!$A$1:$F$18</definedName>
    <definedName name="Z_E00F9356_DF40_4827_9CB1_82ADBC6C7D97_.wvu.PrintArea" localSheetId="0" hidden="1">CONGRESS!$A$1:$F$63</definedName>
    <definedName name="Z_E00F9356_DF40_4827_9CB1_82ADBC6C7D97_.wvu.PrintArea" localSheetId="28" hidden="1">CSC!$A$1:$F$36</definedName>
    <definedName name="Z_E00F9356_DF40_4827_9CB1_82ADBC6C7D97_.wvu.PrintArea" localSheetId="4" hidden="1">DA!$A$1:$F$120</definedName>
    <definedName name="Z_E00F9356_DF40_4827_9CB1_82ADBC6C7D97_.wvu.PrintArea" localSheetId="3" hidden="1">DAR!$A$1:$F$18</definedName>
    <definedName name="Z_E00F9356_DF40_4827_9CB1_82ADBC6C7D97_.wvu.PrintArea" localSheetId="5" hidden="1">DBM!$A$1:$F$36</definedName>
    <definedName name="Z_E00F9356_DF40_4827_9CB1_82ADBC6C7D97_.wvu.PrintArea" localSheetId="8" hidden="1">DENR!$A$1:$F$72</definedName>
    <definedName name="Z_E00F9356_DF40_4827_9CB1_82ADBC6C7D97_.wvu.PrintArea" localSheetId="6" hidden="1">DEPED!$A$1:$F$74</definedName>
    <definedName name="Z_E00F9356_DF40_4827_9CB1_82ADBC6C7D97_.wvu.PrintArea" localSheetId="10" hidden="1">DFA!$A$1:$F$54</definedName>
    <definedName name="Z_E00F9356_DF40_4827_9CB1_82ADBC6C7D97_.wvu.PrintArea" localSheetId="12" hidden="1">DILG!$A$1:$F$83</definedName>
    <definedName name="Z_E00F9356_DF40_4827_9CB1_82ADBC6C7D97_.wvu.PrintArea" localSheetId="15" hidden="1">DND!$A$1:$F$108</definedName>
    <definedName name="Z_E00F9356_DF40_4827_9CB1_82ADBC6C7D97_.wvu.PrintArea" localSheetId="7" hidden="1">DOE!$A$1:$F$18</definedName>
    <definedName name="Z_E00F9356_DF40_4827_9CB1_82ADBC6C7D97_.wvu.PrintArea" localSheetId="9" hidden="1">DOF!$A$1:$F$117</definedName>
    <definedName name="Z_E00F9356_DF40_4827_9CB1_82ADBC6C7D97_.wvu.PrintArea" localSheetId="11" hidden="1">DOH!$A$1:$F$47</definedName>
    <definedName name="Z_E00F9356_DF40_4827_9CB1_82ADBC6C7D97_.wvu.PrintArea" localSheetId="13" hidden="1">DOJ!$A$1:$F$110</definedName>
    <definedName name="Z_E00F9356_DF40_4827_9CB1_82ADBC6C7D97_.wvu.PrintArea" localSheetId="14" hidden="1">DOLE!$A$1:$F$102</definedName>
    <definedName name="Z_E00F9356_DF40_4827_9CB1_82ADBC6C7D97_.wvu.PrintArea" localSheetId="17" hidden="1">DOST!$A$1:$F$201</definedName>
    <definedName name="Z_E00F9356_DF40_4827_9CB1_82ADBC6C7D97_.wvu.PrintArea" localSheetId="19" hidden="1">DOT!$A$1:$F$45</definedName>
    <definedName name="Z_E00F9356_DF40_4827_9CB1_82ADBC6C7D97_.wvu.PrintArea" localSheetId="21" hidden="1">DOTC!$A$1:$F$84</definedName>
    <definedName name="Z_E00F9356_DF40_4827_9CB1_82ADBC6C7D97_.wvu.PrintArea" localSheetId="16" hidden="1">DPWH!$A$1:$F$19</definedName>
    <definedName name="Z_E00F9356_DF40_4827_9CB1_82ADBC6C7D97_.wvu.PrintArea" localSheetId="18" hidden="1">DSWD!$A$1:$F$65</definedName>
    <definedName name="Z_E00F9356_DF40_4827_9CB1_82ADBC6C7D97_.wvu.PrintArea" localSheetId="20" hidden="1">DTI!$A$1:$F$74</definedName>
    <definedName name="Z_E00F9356_DF40_4827_9CB1_82ADBC6C7D97_.wvu.PrintArea" localSheetId="26" hidden="1">JLEC!$A$1:$F$18</definedName>
    <definedName name="Z_E00F9356_DF40_4827_9CB1_82ADBC6C7D97_.wvu.PrintArea" localSheetId="27" hidden="1">JUDICIARY!$A$1:$F$63</definedName>
    <definedName name="Z_E00F9356_DF40_4827_9CB1_82ADBC6C7D97_.wvu.PrintArea" localSheetId="22" hidden="1">NEDA!$A$1:$F$81</definedName>
    <definedName name="Z_E00F9356_DF40_4827_9CB1_82ADBC6C7D97_.wvu.PrintArea" localSheetId="24" hidden="1">OEO!$A$1:$F$335</definedName>
    <definedName name="Z_E00F9356_DF40_4827_9CB1_82ADBC6C7D97_.wvu.PrintArea" localSheetId="31" hidden="1">OMB!$A$1:$F$18</definedName>
    <definedName name="Z_E00F9356_DF40_4827_9CB1_82ADBC6C7D97_.wvu.PrintArea" localSheetId="1" hidden="1">OP!$A$1:$F$18</definedName>
    <definedName name="Z_E00F9356_DF40_4827_9CB1_82ADBC6C7D97_.wvu.PrintArea" localSheetId="2" hidden="1">OVP!$A$1:$F$18</definedName>
    <definedName name="Z_E00F9356_DF40_4827_9CB1_82ADBC6C7D97_.wvu.PrintArea" localSheetId="23" hidden="1">PCOO!$A$1:$F$81</definedName>
    <definedName name="Z_E00F9356_DF40_4827_9CB1_82ADBC6C7D97_.wvu.PrintTitles" localSheetId="25" hidden="1">ARMM!$1:$8</definedName>
    <definedName name="Z_E00F9356_DF40_4827_9CB1_82ADBC6C7D97_.wvu.PrintTitles" localSheetId="33" hidden="1">'By SUCs'!$1:$7</definedName>
    <definedName name="Z_E00F9356_DF40_4827_9CB1_82ADBC6C7D97_.wvu.PrintTitles" localSheetId="32" hidden="1">CHR!$1:$8</definedName>
    <definedName name="Z_E00F9356_DF40_4827_9CB1_82ADBC6C7D97_.wvu.PrintTitles" localSheetId="29" hidden="1">COA!$1:$8</definedName>
    <definedName name="Z_E00F9356_DF40_4827_9CB1_82ADBC6C7D97_.wvu.PrintTitles" localSheetId="30" hidden="1">COMELEC!$1:$8</definedName>
    <definedName name="Z_E00F9356_DF40_4827_9CB1_82ADBC6C7D97_.wvu.PrintTitles" localSheetId="0" hidden="1">CONGRESS!$1:$8</definedName>
    <definedName name="Z_E00F9356_DF40_4827_9CB1_82ADBC6C7D97_.wvu.PrintTitles" localSheetId="28" hidden="1">CSC!$1:$8</definedName>
    <definedName name="Z_E00F9356_DF40_4827_9CB1_82ADBC6C7D97_.wvu.PrintTitles" localSheetId="4" hidden="1">DA!$1:$8</definedName>
    <definedName name="Z_E00F9356_DF40_4827_9CB1_82ADBC6C7D97_.wvu.PrintTitles" localSheetId="3" hidden="1">DAR!$1:$8</definedName>
    <definedName name="Z_E00F9356_DF40_4827_9CB1_82ADBC6C7D97_.wvu.PrintTitles" localSheetId="5" hidden="1">DBM!$1:$8</definedName>
    <definedName name="Z_E00F9356_DF40_4827_9CB1_82ADBC6C7D97_.wvu.PrintTitles" localSheetId="8" hidden="1">DENR!$1:$8</definedName>
    <definedName name="Z_E00F9356_DF40_4827_9CB1_82ADBC6C7D97_.wvu.PrintTitles" localSheetId="6" hidden="1">DEPED!$1:$8</definedName>
    <definedName name="Z_E00F9356_DF40_4827_9CB1_82ADBC6C7D97_.wvu.PrintTitles" localSheetId="10" hidden="1">DFA!$1:$8</definedName>
    <definedName name="Z_E00F9356_DF40_4827_9CB1_82ADBC6C7D97_.wvu.PrintTitles" localSheetId="12" hidden="1">DILG!$1:$8</definedName>
    <definedName name="Z_E00F9356_DF40_4827_9CB1_82ADBC6C7D97_.wvu.PrintTitles" localSheetId="15" hidden="1">DND!$1:$8</definedName>
    <definedName name="Z_E00F9356_DF40_4827_9CB1_82ADBC6C7D97_.wvu.PrintTitles" localSheetId="7" hidden="1">DOE!$1:$8</definedName>
    <definedName name="Z_E00F9356_DF40_4827_9CB1_82ADBC6C7D97_.wvu.PrintTitles" localSheetId="9" hidden="1">DOF!$1:$8</definedName>
    <definedName name="Z_E00F9356_DF40_4827_9CB1_82ADBC6C7D97_.wvu.PrintTitles" localSheetId="11" hidden="1">DOH!$1:$8</definedName>
    <definedName name="Z_E00F9356_DF40_4827_9CB1_82ADBC6C7D97_.wvu.PrintTitles" localSheetId="13" hidden="1">DOJ!$1:$8</definedName>
    <definedName name="Z_E00F9356_DF40_4827_9CB1_82ADBC6C7D97_.wvu.PrintTitles" localSheetId="14" hidden="1">DOLE!$1:$8</definedName>
    <definedName name="Z_E00F9356_DF40_4827_9CB1_82ADBC6C7D97_.wvu.PrintTitles" localSheetId="17" hidden="1">DOST!$1:$8</definedName>
    <definedName name="Z_E00F9356_DF40_4827_9CB1_82ADBC6C7D97_.wvu.PrintTitles" localSheetId="19" hidden="1">DOT!$1:$8</definedName>
    <definedName name="Z_E00F9356_DF40_4827_9CB1_82ADBC6C7D97_.wvu.PrintTitles" localSheetId="21" hidden="1">DOTC!$1:$8</definedName>
    <definedName name="Z_E00F9356_DF40_4827_9CB1_82ADBC6C7D97_.wvu.PrintTitles" localSheetId="16" hidden="1">DPWH!$1:$8</definedName>
    <definedName name="Z_E00F9356_DF40_4827_9CB1_82ADBC6C7D97_.wvu.PrintTitles" localSheetId="18" hidden="1">DSWD!$1:$8</definedName>
    <definedName name="Z_E00F9356_DF40_4827_9CB1_82ADBC6C7D97_.wvu.PrintTitles" localSheetId="20" hidden="1">DTI!$1:$8</definedName>
    <definedName name="Z_E00F9356_DF40_4827_9CB1_82ADBC6C7D97_.wvu.PrintTitles" localSheetId="26" hidden="1">JLEC!$1:$8</definedName>
    <definedName name="Z_E00F9356_DF40_4827_9CB1_82ADBC6C7D97_.wvu.PrintTitles" localSheetId="27" hidden="1">JUDICIARY!$1:$8</definedName>
    <definedName name="Z_E00F9356_DF40_4827_9CB1_82ADBC6C7D97_.wvu.PrintTitles" localSheetId="22" hidden="1">NEDA!$1:$8</definedName>
    <definedName name="Z_E00F9356_DF40_4827_9CB1_82ADBC6C7D97_.wvu.PrintTitles" localSheetId="24" hidden="1">OEO!$1:$8</definedName>
    <definedName name="Z_E00F9356_DF40_4827_9CB1_82ADBC6C7D97_.wvu.PrintTitles" localSheetId="31" hidden="1">OMB!$1:$8</definedName>
    <definedName name="Z_E00F9356_DF40_4827_9CB1_82ADBC6C7D97_.wvu.PrintTitles" localSheetId="1" hidden="1">OP!$1:$8</definedName>
    <definedName name="Z_E00F9356_DF40_4827_9CB1_82ADBC6C7D97_.wvu.PrintTitles" localSheetId="2" hidden="1">OVP!$1:$8</definedName>
    <definedName name="Z_E00F9356_DF40_4827_9CB1_82ADBC6C7D97_.wvu.PrintTitles" localSheetId="23" hidden="1">PCOO!$1:$8</definedName>
    <definedName name="Z_E00F9356_DF40_4827_9CB1_82ADBC6C7D97_.wvu.Rows" localSheetId="25" hidden="1">ARMM!#REF!</definedName>
    <definedName name="Z_E00F9356_DF40_4827_9CB1_82ADBC6C7D97_.wvu.Rows" localSheetId="32" hidden="1">CHR!#REF!</definedName>
    <definedName name="Z_E00F9356_DF40_4827_9CB1_82ADBC6C7D97_.wvu.Rows" localSheetId="29" hidden="1">COA!#REF!</definedName>
    <definedName name="Z_E00F9356_DF40_4827_9CB1_82ADBC6C7D97_.wvu.Rows" localSheetId="30" hidden="1">COMELEC!#REF!</definedName>
    <definedName name="Z_E00F9356_DF40_4827_9CB1_82ADBC6C7D97_.wvu.Rows" localSheetId="0" hidden="1">CONGRESS!#REF!</definedName>
    <definedName name="Z_E00F9356_DF40_4827_9CB1_82ADBC6C7D97_.wvu.Rows" localSheetId="28" hidden="1">CSC!#REF!</definedName>
    <definedName name="Z_E00F9356_DF40_4827_9CB1_82ADBC6C7D97_.wvu.Rows" localSheetId="4" hidden="1">DA!#REF!</definedName>
    <definedName name="Z_E00F9356_DF40_4827_9CB1_82ADBC6C7D97_.wvu.Rows" localSheetId="3" hidden="1">DAR!#REF!</definedName>
    <definedName name="Z_E00F9356_DF40_4827_9CB1_82ADBC6C7D97_.wvu.Rows" localSheetId="5" hidden="1">DBM!#REF!</definedName>
    <definedName name="Z_E00F9356_DF40_4827_9CB1_82ADBC6C7D97_.wvu.Rows" localSheetId="8" hidden="1">DENR!#REF!</definedName>
    <definedName name="Z_E00F9356_DF40_4827_9CB1_82ADBC6C7D97_.wvu.Rows" localSheetId="6" hidden="1">DEPED!#REF!</definedName>
    <definedName name="Z_E00F9356_DF40_4827_9CB1_82ADBC6C7D97_.wvu.Rows" localSheetId="10" hidden="1">DFA!#REF!</definedName>
    <definedName name="Z_E00F9356_DF40_4827_9CB1_82ADBC6C7D97_.wvu.Rows" localSheetId="12" hidden="1">DILG!#REF!</definedName>
    <definedName name="Z_E00F9356_DF40_4827_9CB1_82ADBC6C7D97_.wvu.Rows" localSheetId="15" hidden="1">DND!#REF!</definedName>
    <definedName name="Z_E00F9356_DF40_4827_9CB1_82ADBC6C7D97_.wvu.Rows" localSheetId="7" hidden="1">DOE!#REF!</definedName>
    <definedName name="Z_E00F9356_DF40_4827_9CB1_82ADBC6C7D97_.wvu.Rows" localSheetId="9" hidden="1">DOF!#REF!</definedName>
    <definedName name="Z_E00F9356_DF40_4827_9CB1_82ADBC6C7D97_.wvu.Rows" localSheetId="11" hidden="1">DOH!#REF!</definedName>
    <definedName name="Z_E00F9356_DF40_4827_9CB1_82ADBC6C7D97_.wvu.Rows" localSheetId="13" hidden="1">DOJ!#REF!</definedName>
    <definedName name="Z_E00F9356_DF40_4827_9CB1_82ADBC6C7D97_.wvu.Rows" localSheetId="14" hidden="1">DOLE!#REF!</definedName>
    <definedName name="Z_E00F9356_DF40_4827_9CB1_82ADBC6C7D97_.wvu.Rows" localSheetId="17" hidden="1">DOST!#REF!</definedName>
    <definedName name="Z_E00F9356_DF40_4827_9CB1_82ADBC6C7D97_.wvu.Rows" localSheetId="19" hidden="1">DOT!#REF!</definedName>
    <definedName name="Z_E00F9356_DF40_4827_9CB1_82ADBC6C7D97_.wvu.Rows" localSheetId="21" hidden="1">DOTC!#REF!</definedName>
    <definedName name="Z_E00F9356_DF40_4827_9CB1_82ADBC6C7D97_.wvu.Rows" localSheetId="16" hidden="1">DPWH!#REF!</definedName>
    <definedName name="Z_E00F9356_DF40_4827_9CB1_82ADBC6C7D97_.wvu.Rows" localSheetId="18" hidden="1">DSWD!#REF!</definedName>
    <definedName name="Z_E00F9356_DF40_4827_9CB1_82ADBC6C7D97_.wvu.Rows" localSheetId="20" hidden="1">DTI!#REF!</definedName>
    <definedName name="Z_E00F9356_DF40_4827_9CB1_82ADBC6C7D97_.wvu.Rows" localSheetId="26" hidden="1">JLEC!#REF!</definedName>
    <definedName name="Z_E00F9356_DF40_4827_9CB1_82ADBC6C7D97_.wvu.Rows" localSheetId="27" hidden="1">JUDICIARY!#REF!</definedName>
    <definedName name="Z_E00F9356_DF40_4827_9CB1_82ADBC6C7D97_.wvu.Rows" localSheetId="22" hidden="1">NEDA!#REF!</definedName>
    <definedName name="Z_E00F9356_DF40_4827_9CB1_82ADBC6C7D97_.wvu.Rows" localSheetId="24" hidden="1">OEO!#REF!</definedName>
    <definedName name="Z_E00F9356_DF40_4827_9CB1_82ADBC6C7D97_.wvu.Rows" localSheetId="31" hidden="1">OMB!#REF!</definedName>
    <definedName name="Z_E00F9356_DF40_4827_9CB1_82ADBC6C7D97_.wvu.Rows" localSheetId="1" hidden="1">OP!#REF!</definedName>
    <definedName name="Z_E00F9356_DF40_4827_9CB1_82ADBC6C7D97_.wvu.Rows" localSheetId="2" hidden="1">OVP!#REF!</definedName>
    <definedName name="Z_E00F9356_DF40_4827_9CB1_82ADBC6C7D97_.wvu.Rows" localSheetId="23" hidden="1">PCOO!#REF!</definedName>
    <definedName name="Z_FA58CE9C_DF0B_4F92_A8CF_3DC94CEE7454_.wvu.Cols" localSheetId="33" hidden="1">'By SUCs'!$B:$D</definedName>
    <definedName name="Z_FA58CE9C_DF0B_4F92_A8CF_3DC94CEE7454_.wvu.PrintArea" localSheetId="25" hidden="1">ARMM!$A$1:$Q$18</definedName>
    <definedName name="Z_FA58CE9C_DF0B_4F92_A8CF_3DC94CEE7454_.wvu.PrintArea" localSheetId="33" hidden="1">'By SUCs'!$A$1:$H$1184</definedName>
    <definedName name="Z_FA58CE9C_DF0B_4F92_A8CF_3DC94CEE7454_.wvu.PrintArea" localSheetId="32" hidden="1">CHR!$A$1:$Q$18</definedName>
    <definedName name="Z_FA58CE9C_DF0B_4F92_A8CF_3DC94CEE7454_.wvu.PrintArea" localSheetId="29" hidden="1">COA!$A$1:$Q$18</definedName>
    <definedName name="Z_FA58CE9C_DF0B_4F92_A8CF_3DC94CEE7454_.wvu.PrintArea" localSheetId="30" hidden="1">COMELEC!$A$1:$Q$18</definedName>
    <definedName name="Z_FA58CE9C_DF0B_4F92_A8CF_3DC94CEE7454_.wvu.PrintArea" localSheetId="0" hidden="1">CONGRESS!$A$1:$Q$63</definedName>
    <definedName name="Z_FA58CE9C_DF0B_4F92_A8CF_3DC94CEE7454_.wvu.PrintArea" localSheetId="28" hidden="1">CSC!$A$1:$Q$36</definedName>
    <definedName name="Z_FA58CE9C_DF0B_4F92_A8CF_3DC94CEE7454_.wvu.PrintArea" localSheetId="4" hidden="1">DA!$A$1:$Q$120</definedName>
    <definedName name="Z_FA58CE9C_DF0B_4F92_A8CF_3DC94CEE7454_.wvu.PrintArea" localSheetId="3" hidden="1">DAR!$A$1:$Q$18</definedName>
    <definedName name="Z_FA58CE9C_DF0B_4F92_A8CF_3DC94CEE7454_.wvu.PrintArea" localSheetId="5" hidden="1">DBM!$A$1:$Q$36</definedName>
    <definedName name="Z_FA58CE9C_DF0B_4F92_A8CF_3DC94CEE7454_.wvu.PrintArea" localSheetId="8" hidden="1">DENR!$A$1:$Q$72</definedName>
    <definedName name="Z_FA58CE9C_DF0B_4F92_A8CF_3DC94CEE7454_.wvu.PrintArea" localSheetId="6" hidden="1">DEPED!$A$1:$Q$74</definedName>
    <definedName name="Z_FA58CE9C_DF0B_4F92_A8CF_3DC94CEE7454_.wvu.PrintArea" localSheetId="10" hidden="1">DFA!$A$1:$Q$54</definedName>
    <definedName name="Z_FA58CE9C_DF0B_4F92_A8CF_3DC94CEE7454_.wvu.PrintArea" localSheetId="12" hidden="1">DILG!$A$1:$Q$83</definedName>
    <definedName name="Z_FA58CE9C_DF0B_4F92_A8CF_3DC94CEE7454_.wvu.PrintArea" localSheetId="15" hidden="1">DND!$A$1:$Q$108</definedName>
    <definedName name="Z_FA58CE9C_DF0B_4F92_A8CF_3DC94CEE7454_.wvu.PrintArea" localSheetId="7" hidden="1">DOE!$A$1:$Q$18</definedName>
    <definedName name="Z_FA58CE9C_DF0B_4F92_A8CF_3DC94CEE7454_.wvu.PrintArea" localSheetId="9" hidden="1">DOF!$A$1:$Q$117</definedName>
    <definedName name="Z_FA58CE9C_DF0B_4F92_A8CF_3DC94CEE7454_.wvu.PrintArea" localSheetId="11" hidden="1">DOH!$A$1:$Q$47</definedName>
    <definedName name="Z_FA58CE9C_DF0B_4F92_A8CF_3DC94CEE7454_.wvu.PrintArea" localSheetId="13" hidden="1">DOJ!$A$1:$Q$110</definedName>
    <definedName name="Z_FA58CE9C_DF0B_4F92_A8CF_3DC94CEE7454_.wvu.PrintArea" localSheetId="14" hidden="1">DOLE!$A$1:$Q$102</definedName>
    <definedName name="Z_FA58CE9C_DF0B_4F92_A8CF_3DC94CEE7454_.wvu.PrintArea" localSheetId="17" hidden="1">DOST!$A$1:$Q$201</definedName>
    <definedName name="Z_FA58CE9C_DF0B_4F92_A8CF_3DC94CEE7454_.wvu.PrintArea" localSheetId="19" hidden="1">DOT!$A$1:$Q$45</definedName>
    <definedName name="Z_FA58CE9C_DF0B_4F92_A8CF_3DC94CEE7454_.wvu.PrintArea" localSheetId="21" hidden="1">DOTC!$A$1:$Q$84</definedName>
    <definedName name="Z_FA58CE9C_DF0B_4F92_A8CF_3DC94CEE7454_.wvu.PrintArea" localSheetId="16" hidden="1">DPWH!$A$1:$Q$19</definedName>
    <definedName name="Z_FA58CE9C_DF0B_4F92_A8CF_3DC94CEE7454_.wvu.PrintArea" localSheetId="18" hidden="1">DSWD!$A$1:$Q$65</definedName>
    <definedName name="Z_FA58CE9C_DF0B_4F92_A8CF_3DC94CEE7454_.wvu.PrintArea" localSheetId="20" hidden="1">DTI!$A$1:$Q$74</definedName>
    <definedName name="Z_FA58CE9C_DF0B_4F92_A8CF_3DC94CEE7454_.wvu.PrintArea" localSheetId="26" hidden="1">JLEC!$A$1:$Q$18</definedName>
    <definedName name="Z_FA58CE9C_DF0B_4F92_A8CF_3DC94CEE7454_.wvu.PrintArea" localSheetId="27" hidden="1">JUDICIARY!$A$1:$Q$63</definedName>
    <definedName name="Z_FA58CE9C_DF0B_4F92_A8CF_3DC94CEE7454_.wvu.PrintArea" localSheetId="22" hidden="1">NEDA!$A$1:$Q$81</definedName>
    <definedName name="Z_FA58CE9C_DF0B_4F92_A8CF_3DC94CEE7454_.wvu.PrintArea" localSheetId="24" hidden="1">OEO!$A$1:$Q$335</definedName>
    <definedName name="Z_FA58CE9C_DF0B_4F92_A8CF_3DC94CEE7454_.wvu.PrintArea" localSheetId="31" hidden="1">OMB!$A$1:$Q$18</definedName>
    <definedName name="Z_FA58CE9C_DF0B_4F92_A8CF_3DC94CEE7454_.wvu.PrintArea" localSheetId="1" hidden="1">OP!$A$1:$Q$18</definedName>
    <definedName name="Z_FA58CE9C_DF0B_4F92_A8CF_3DC94CEE7454_.wvu.PrintArea" localSheetId="2" hidden="1">OVP!$A$1:$Q$18</definedName>
    <definedName name="Z_FA58CE9C_DF0B_4F92_A8CF_3DC94CEE7454_.wvu.PrintArea" localSheetId="23" hidden="1">PCOO!$A$1:$Q$81</definedName>
    <definedName name="Z_FA58CE9C_DF0B_4F92_A8CF_3DC94CEE7454_.wvu.PrintTitles" localSheetId="25" hidden="1">ARMM!$1:$8</definedName>
    <definedName name="Z_FA58CE9C_DF0B_4F92_A8CF_3DC94CEE7454_.wvu.PrintTitles" localSheetId="33" hidden="1">'By SUCs'!$1:$7</definedName>
    <definedName name="Z_FA58CE9C_DF0B_4F92_A8CF_3DC94CEE7454_.wvu.PrintTitles" localSheetId="32" hidden="1">CHR!$1:$8</definedName>
    <definedName name="Z_FA58CE9C_DF0B_4F92_A8CF_3DC94CEE7454_.wvu.PrintTitles" localSheetId="29" hidden="1">COA!$1:$8</definedName>
    <definedName name="Z_FA58CE9C_DF0B_4F92_A8CF_3DC94CEE7454_.wvu.PrintTitles" localSheetId="30" hidden="1">COMELEC!$1:$8</definedName>
    <definedName name="Z_FA58CE9C_DF0B_4F92_A8CF_3DC94CEE7454_.wvu.PrintTitles" localSheetId="0" hidden="1">CONGRESS!$1:$8</definedName>
    <definedName name="Z_FA58CE9C_DF0B_4F92_A8CF_3DC94CEE7454_.wvu.PrintTitles" localSheetId="28" hidden="1">CSC!$1:$8</definedName>
    <definedName name="Z_FA58CE9C_DF0B_4F92_A8CF_3DC94CEE7454_.wvu.PrintTitles" localSheetId="4" hidden="1">DA!$1:$8</definedName>
    <definedName name="Z_FA58CE9C_DF0B_4F92_A8CF_3DC94CEE7454_.wvu.PrintTitles" localSheetId="3" hidden="1">DAR!$1:$8</definedName>
    <definedName name="Z_FA58CE9C_DF0B_4F92_A8CF_3DC94CEE7454_.wvu.PrintTitles" localSheetId="5" hidden="1">DBM!$1:$8</definedName>
    <definedName name="Z_FA58CE9C_DF0B_4F92_A8CF_3DC94CEE7454_.wvu.PrintTitles" localSheetId="8" hidden="1">DENR!$1:$8</definedName>
    <definedName name="Z_FA58CE9C_DF0B_4F92_A8CF_3DC94CEE7454_.wvu.PrintTitles" localSheetId="6" hidden="1">DEPED!$1:$8</definedName>
    <definedName name="Z_FA58CE9C_DF0B_4F92_A8CF_3DC94CEE7454_.wvu.PrintTitles" localSheetId="10" hidden="1">DFA!$1:$8</definedName>
    <definedName name="Z_FA58CE9C_DF0B_4F92_A8CF_3DC94CEE7454_.wvu.PrintTitles" localSheetId="12" hidden="1">DILG!$1:$8</definedName>
    <definedName name="Z_FA58CE9C_DF0B_4F92_A8CF_3DC94CEE7454_.wvu.PrintTitles" localSheetId="15" hidden="1">DND!$1:$8</definedName>
    <definedName name="Z_FA58CE9C_DF0B_4F92_A8CF_3DC94CEE7454_.wvu.PrintTitles" localSheetId="7" hidden="1">DOE!$1:$8</definedName>
    <definedName name="Z_FA58CE9C_DF0B_4F92_A8CF_3DC94CEE7454_.wvu.PrintTitles" localSheetId="9" hidden="1">DOF!$1:$8</definedName>
    <definedName name="Z_FA58CE9C_DF0B_4F92_A8CF_3DC94CEE7454_.wvu.PrintTitles" localSheetId="11" hidden="1">DOH!$1:$8</definedName>
    <definedName name="Z_FA58CE9C_DF0B_4F92_A8CF_3DC94CEE7454_.wvu.PrintTitles" localSheetId="13" hidden="1">DOJ!$1:$8</definedName>
    <definedName name="Z_FA58CE9C_DF0B_4F92_A8CF_3DC94CEE7454_.wvu.PrintTitles" localSheetId="14" hidden="1">DOLE!$1:$8</definedName>
    <definedName name="Z_FA58CE9C_DF0B_4F92_A8CF_3DC94CEE7454_.wvu.PrintTitles" localSheetId="17" hidden="1">DOST!$1:$8</definedName>
    <definedName name="Z_FA58CE9C_DF0B_4F92_A8CF_3DC94CEE7454_.wvu.PrintTitles" localSheetId="19" hidden="1">DOT!$1:$8</definedName>
    <definedName name="Z_FA58CE9C_DF0B_4F92_A8CF_3DC94CEE7454_.wvu.PrintTitles" localSheetId="21" hidden="1">DOTC!$1:$8</definedName>
    <definedName name="Z_FA58CE9C_DF0B_4F92_A8CF_3DC94CEE7454_.wvu.PrintTitles" localSheetId="16" hidden="1">DPWH!$1:$8</definedName>
    <definedName name="Z_FA58CE9C_DF0B_4F92_A8CF_3DC94CEE7454_.wvu.PrintTitles" localSheetId="18" hidden="1">DSWD!$1:$8</definedName>
    <definedName name="Z_FA58CE9C_DF0B_4F92_A8CF_3DC94CEE7454_.wvu.PrintTitles" localSheetId="20" hidden="1">DTI!$1:$8</definedName>
    <definedName name="Z_FA58CE9C_DF0B_4F92_A8CF_3DC94CEE7454_.wvu.PrintTitles" localSheetId="26" hidden="1">JLEC!$1:$8</definedName>
    <definedName name="Z_FA58CE9C_DF0B_4F92_A8CF_3DC94CEE7454_.wvu.PrintTitles" localSheetId="27" hidden="1">JUDICIARY!$1:$8</definedName>
    <definedName name="Z_FA58CE9C_DF0B_4F92_A8CF_3DC94CEE7454_.wvu.PrintTitles" localSheetId="22" hidden="1">NEDA!$1:$8</definedName>
    <definedName name="Z_FA58CE9C_DF0B_4F92_A8CF_3DC94CEE7454_.wvu.PrintTitles" localSheetId="24" hidden="1">OEO!$1:$8</definedName>
    <definedName name="Z_FA58CE9C_DF0B_4F92_A8CF_3DC94CEE7454_.wvu.PrintTitles" localSheetId="31" hidden="1">OMB!$1:$8</definedName>
    <definedName name="Z_FA58CE9C_DF0B_4F92_A8CF_3DC94CEE7454_.wvu.PrintTitles" localSheetId="1" hidden="1">OP!$1:$8</definedName>
    <definedName name="Z_FA58CE9C_DF0B_4F92_A8CF_3DC94CEE7454_.wvu.PrintTitles" localSheetId="2" hidden="1">OVP!$1:$8</definedName>
    <definedName name="Z_FA58CE9C_DF0B_4F92_A8CF_3DC94CEE7454_.wvu.PrintTitles" localSheetId="23" hidden="1">PCOO!$1:$8</definedName>
    <definedName name="Z_FA58CE9C_DF0B_4F92_A8CF_3DC94CEE7454_.wvu.Rows" localSheetId="25" hidden="1">ARMM!#REF!</definedName>
    <definedName name="Z_FA58CE9C_DF0B_4F92_A8CF_3DC94CEE7454_.wvu.Rows" localSheetId="32" hidden="1">CHR!#REF!</definedName>
    <definedName name="Z_FA58CE9C_DF0B_4F92_A8CF_3DC94CEE7454_.wvu.Rows" localSheetId="29" hidden="1">COA!#REF!</definedName>
    <definedName name="Z_FA58CE9C_DF0B_4F92_A8CF_3DC94CEE7454_.wvu.Rows" localSheetId="30" hidden="1">COMELEC!#REF!</definedName>
    <definedName name="Z_FA58CE9C_DF0B_4F92_A8CF_3DC94CEE7454_.wvu.Rows" localSheetId="0" hidden="1">CONGRESS!#REF!</definedName>
    <definedName name="Z_FA58CE9C_DF0B_4F92_A8CF_3DC94CEE7454_.wvu.Rows" localSheetId="28" hidden="1">CSC!#REF!</definedName>
    <definedName name="Z_FA58CE9C_DF0B_4F92_A8CF_3DC94CEE7454_.wvu.Rows" localSheetId="4" hidden="1">DA!#REF!</definedName>
    <definedName name="Z_FA58CE9C_DF0B_4F92_A8CF_3DC94CEE7454_.wvu.Rows" localSheetId="3" hidden="1">DAR!#REF!</definedName>
    <definedName name="Z_FA58CE9C_DF0B_4F92_A8CF_3DC94CEE7454_.wvu.Rows" localSheetId="5" hidden="1">DBM!#REF!</definedName>
    <definedName name="Z_FA58CE9C_DF0B_4F92_A8CF_3DC94CEE7454_.wvu.Rows" localSheetId="8" hidden="1">DENR!#REF!</definedName>
    <definedName name="Z_FA58CE9C_DF0B_4F92_A8CF_3DC94CEE7454_.wvu.Rows" localSheetId="6" hidden="1">DEPED!#REF!</definedName>
    <definedName name="Z_FA58CE9C_DF0B_4F92_A8CF_3DC94CEE7454_.wvu.Rows" localSheetId="10" hidden="1">DFA!#REF!</definedName>
    <definedName name="Z_FA58CE9C_DF0B_4F92_A8CF_3DC94CEE7454_.wvu.Rows" localSheetId="12" hidden="1">DILG!#REF!</definedName>
    <definedName name="Z_FA58CE9C_DF0B_4F92_A8CF_3DC94CEE7454_.wvu.Rows" localSheetId="15" hidden="1">DND!#REF!</definedName>
    <definedName name="Z_FA58CE9C_DF0B_4F92_A8CF_3DC94CEE7454_.wvu.Rows" localSheetId="7" hidden="1">DOE!#REF!</definedName>
    <definedName name="Z_FA58CE9C_DF0B_4F92_A8CF_3DC94CEE7454_.wvu.Rows" localSheetId="9" hidden="1">DOF!#REF!</definedName>
    <definedName name="Z_FA58CE9C_DF0B_4F92_A8CF_3DC94CEE7454_.wvu.Rows" localSheetId="11" hidden="1">DOH!#REF!</definedName>
    <definedName name="Z_FA58CE9C_DF0B_4F92_A8CF_3DC94CEE7454_.wvu.Rows" localSheetId="13" hidden="1">DOJ!#REF!</definedName>
    <definedName name="Z_FA58CE9C_DF0B_4F92_A8CF_3DC94CEE7454_.wvu.Rows" localSheetId="14" hidden="1">DOLE!#REF!</definedName>
    <definedName name="Z_FA58CE9C_DF0B_4F92_A8CF_3DC94CEE7454_.wvu.Rows" localSheetId="17" hidden="1">DOST!#REF!</definedName>
    <definedName name="Z_FA58CE9C_DF0B_4F92_A8CF_3DC94CEE7454_.wvu.Rows" localSheetId="19" hidden="1">DOT!#REF!</definedName>
    <definedName name="Z_FA58CE9C_DF0B_4F92_A8CF_3DC94CEE7454_.wvu.Rows" localSheetId="21" hidden="1">DOTC!#REF!</definedName>
    <definedName name="Z_FA58CE9C_DF0B_4F92_A8CF_3DC94CEE7454_.wvu.Rows" localSheetId="16" hidden="1">DPWH!#REF!</definedName>
    <definedName name="Z_FA58CE9C_DF0B_4F92_A8CF_3DC94CEE7454_.wvu.Rows" localSheetId="18" hidden="1">DSWD!#REF!</definedName>
    <definedName name="Z_FA58CE9C_DF0B_4F92_A8CF_3DC94CEE7454_.wvu.Rows" localSheetId="20" hidden="1">DTI!#REF!</definedName>
    <definedName name="Z_FA58CE9C_DF0B_4F92_A8CF_3DC94CEE7454_.wvu.Rows" localSheetId="26" hidden="1">JLEC!#REF!</definedName>
    <definedName name="Z_FA58CE9C_DF0B_4F92_A8CF_3DC94CEE7454_.wvu.Rows" localSheetId="27" hidden="1">JUDICIARY!#REF!</definedName>
    <definedName name="Z_FA58CE9C_DF0B_4F92_A8CF_3DC94CEE7454_.wvu.Rows" localSheetId="22" hidden="1">NEDA!#REF!</definedName>
    <definedName name="Z_FA58CE9C_DF0B_4F92_A8CF_3DC94CEE7454_.wvu.Rows" localSheetId="24" hidden="1">OEO!#REF!</definedName>
    <definedName name="Z_FA58CE9C_DF0B_4F92_A8CF_3DC94CEE7454_.wvu.Rows" localSheetId="31" hidden="1">OMB!#REF!</definedName>
    <definedName name="Z_FA58CE9C_DF0B_4F92_A8CF_3DC94CEE7454_.wvu.Rows" localSheetId="1" hidden="1">OP!#REF!</definedName>
    <definedName name="Z_FA58CE9C_DF0B_4F92_A8CF_3DC94CEE7454_.wvu.Rows" localSheetId="2" hidden="1">OVP!#REF!</definedName>
    <definedName name="Z_FA58CE9C_DF0B_4F92_A8CF_3DC94CEE7454_.wvu.Rows" localSheetId="23" hidden="1">PCOO!#REF!</definedName>
  </definedNames>
  <calcPr calcId="125725"/>
</workbook>
</file>

<file path=xl/calcChain.xml><?xml version="1.0" encoding="utf-8"?>
<calcChain xmlns="http://schemas.openxmlformats.org/spreadsheetml/2006/main">
  <c r="J17" i="17"/>
  <c r="J16"/>
  <c r="J10" s="1"/>
  <c r="H16"/>
  <c r="G16"/>
  <c r="J14"/>
  <c r="H14"/>
  <c r="G14"/>
  <c r="G13"/>
  <c r="G11" s="1"/>
  <c r="G10" s="1"/>
  <c r="J11"/>
  <c r="H11"/>
  <c r="H10" s="1"/>
  <c r="J15" i="32"/>
  <c r="I15"/>
  <c r="I10" s="1"/>
  <c r="H15"/>
  <c r="G15"/>
  <c r="G14"/>
  <c r="G13"/>
  <c r="G11" s="1"/>
  <c r="G10" s="1"/>
  <c r="J12"/>
  <c r="H12"/>
  <c r="G12"/>
  <c r="J11"/>
  <c r="I11"/>
  <c r="H11"/>
  <c r="J10"/>
  <c r="H10"/>
  <c r="K17" i="26"/>
  <c r="F17"/>
  <c r="J16"/>
  <c r="K16" s="1"/>
  <c r="K15" s="1"/>
  <c r="F16"/>
  <c r="H15"/>
  <c r="G15"/>
  <c r="F15"/>
  <c r="E15"/>
  <c r="D15"/>
  <c r="C15"/>
  <c r="B15"/>
  <c r="G14"/>
  <c r="K14" s="1"/>
  <c r="F14"/>
  <c r="K13"/>
  <c r="G13"/>
  <c r="F13"/>
  <c r="J12"/>
  <c r="J11" s="1"/>
  <c r="H12"/>
  <c r="G12"/>
  <c r="K12" s="1"/>
  <c r="F12"/>
  <c r="H11"/>
  <c r="H10" s="1"/>
  <c r="F11"/>
  <c r="F10" s="1"/>
  <c r="E11"/>
  <c r="D11"/>
  <c r="D10" s="1"/>
  <c r="C11"/>
  <c r="B11"/>
  <c r="B10" s="1"/>
  <c r="E10"/>
  <c r="C10"/>
  <c r="H43" i="1"/>
  <c r="J42"/>
  <c r="H42"/>
  <c r="G42"/>
  <c r="J38"/>
  <c r="H38"/>
  <c r="H37" s="1"/>
  <c r="G38"/>
  <c r="J37"/>
  <c r="G37"/>
  <c r="K11" i="26" l="1"/>
  <c r="K10" s="1"/>
  <c r="G11"/>
  <c r="G10" s="1"/>
  <c r="J15"/>
  <c r="J10" s="1"/>
  <c r="K71" i="9" l="1"/>
  <c r="F71"/>
  <c r="K70"/>
  <c r="F70"/>
  <c r="K69"/>
  <c r="J69"/>
  <c r="I69"/>
  <c r="H69"/>
  <c r="G69"/>
  <c r="F69"/>
  <c r="E69"/>
  <c r="D69"/>
  <c r="C69"/>
  <c r="B69"/>
  <c r="K68"/>
  <c r="F68"/>
  <c r="K67"/>
  <c r="F67"/>
  <c r="K66"/>
  <c r="F66"/>
  <c r="K65"/>
  <c r="J65"/>
  <c r="I65"/>
  <c r="H65"/>
  <c r="G65"/>
  <c r="F65"/>
  <c r="E65"/>
  <c r="D65"/>
  <c r="C65"/>
  <c r="B65"/>
  <c r="K64"/>
  <c r="J64"/>
  <c r="I64"/>
  <c r="H64"/>
  <c r="G64"/>
  <c r="F64"/>
  <c r="E64"/>
  <c r="D64"/>
  <c r="C64"/>
  <c r="B64"/>
  <c r="K62"/>
  <c r="F62"/>
  <c r="K61"/>
  <c r="E61"/>
  <c r="C61"/>
  <c r="F61" s="1"/>
  <c r="F60" s="1"/>
  <c r="F55" s="1"/>
  <c r="K60"/>
  <c r="J60"/>
  <c r="I60"/>
  <c r="H60"/>
  <c r="G60"/>
  <c r="E60"/>
  <c r="D60"/>
  <c r="C60"/>
  <c r="B60"/>
  <c r="K59"/>
  <c r="F59"/>
  <c r="K58"/>
  <c r="F58"/>
  <c r="K57"/>
  <c r="F57"/>
  <c r="K56"/>
  <c r="J56"/>
  <c r="I56"/>
  <c r="H56"/>
  <c r="G56"/>
  <c r="F56"/>
  <c r="E56"/>
  <c r="D56"/>
  <c r="C56"/>
  <c r="B56"/>
  <c r="K55"/>
  <c r="J55"/>
  <c r="I55"/>
  <c r="H55"/>
  <c r="G55"/>
  <c r="E55"/>
  <c r="D55"/>
  <c r="C55"/>
  <c r="B55"/>
  <c r="K53"/>
  <c r="F53"/>
  <c r="K52"/>
  <c r="F52"/>
  <c r="K51"/>
  <c r="J51"/>
  <c r="I51"/>
  <c r="I46" s="1"/>
  <c r="H51"/>
  <c r="G51"/>
  <c r="F51"/>
  <c r="E51"/>
  <c r="E46" s="1"/>
  <c r="D51"/>
  <c r="C51"/>
  <c r="C46" s="1"/>
  <c r="B51"/>
  <c r="K50"/>
  <c r="G50"/>
  <c r="F50"/>
  <c r="G49"/>
  <c r="K49" s="1"/>
  <c r="F49"/>
  <c r="K48"/>
  <c r="K47" s="1"/>
  <c r="K46" s="1"/>
  <c r="G48"/>
  <c r="F48"/>
  <c r="J47"/>
  <c r="I47"/>
  <c r="H47"/>
  <c r="F47"/>
  <c r="E47"/>
  <c r="D47"/>
  <c r="C47"/>
  <c r="B47"/>
  <c r="J46"/>
  <c r="H46"/>
  <c r="F46"/>
  <c r="D46"/>
  <c r="B46"/>
  <c r="K44"/>
  <c r="F44"/>
  <c r="K43"/>
  <c r="F43"/>
  <c r="K42"/>
  <c r="J42"/>
  <c r="I42"/>
  <c r="H42"/>
  <c r="H37" s="1"/>
  <c r="G42"/>
  <c r="F42"/>
  <c r="E42"/>
  <c r="D42"/>
  <c r="D37" s="1"/>
  <c r="C42"/>
  <c r="B42"/>
  <c r="B37" s="1"/>
  <c r="K41"/>
  <c r="F41"/>
  <c r="K40"/>
  <c r="F40"/>
  <c r="F38" s="1"/>
  <c r="F37" s="1"/>
  <c r="J39"/>
  <c r="K39" s="1"/>
  <c r="K38" s="1"/>
  <c r="K37" s="1"/>
  <c r="F39"/>
  <c r="I38"/>
  <c r="H38"/>
  <c r="G38"/>
  <c r="E38"/>
  <c r="D38"/>
  <c r="C38"/>
  <c r="B38"/>
  <c r="I37"/>
  <c r="G37"/>
  <c r="E37"/>
  <c r="C37"/>
  <c r="K35"/>
  <c r="F35"/>
  <c r="K34"/>
  <c r="F34"/>
  <c r="K33"/>
  <c r="J33"/>
  <c r="I33"/>
  <c r="H33"/>
  <c r="G33"/>
  <c r="F33"/>
  <c r="E33"/>
  <c r="D33"/>
  <c r="C33"/>
  <c r="B33"/>
  <c r="K32"/>
  <c r="F32"/>
  <c r="K31"/>
  <c r="F31"/>
  <c r="H30"/>
  <c r="G30"/>
  <c r="K30" s="1"/>
  <c r="K29" s="1"/>
  <c r="K28" s="1"/>
  <c r="F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K26"/>
  <c r="F26"/>
  <c r="J25"/>
  <c r="H25"/>
  <c r="H24" s="1"/>
  <c r="H19" s="1"/>
  <c r="F25"/>
  <c r="J24"/>
  <c r="I24"/>
  <c r="I19" s="1"/>
  <c r="G24"/>
  <c r="G19" s="1"/>
  <c r="F24"/>
  <c r="E24"/>
  <c r="E19" s="1"/>
  <c r="D24"/>
  <c r="C24"/>
  <c r="C19" s="1"/>
  <c r="B24"/>
  <c r="K23"/>
  <c r="G23"/>
  <c r="F23"/>
  <c r="K22"/>
  <c r="F22"/>
  <c r="J21"/>
  <c r="I21"/>
  <c r="H21"/>
  <c r="G21"/>
  <c r="K21" s="1"/>
  <c r="K20" s="1"/>
  <c r="F21"/>
  <c r="J20"/>
  <c r="I20"/>
  <c r="H20"/>
  <c r="G20"/>
  <c r="F20"/>
  <c r="E20"/>
  <c r="D20"/>
  <c r="C20"/>
  <c r="B20"/>
  <c r="J19"/>
  <c r="F19"/>
  <c r="D19"/>
  <c r="B19"/>
  <c r="K73" i="7"/>
  <c r="F73"/>
  <c r="K72"/>
  <c r="F72"/>
  <c r="K71"/>
  <c r="J71"/>
  <c r="I71"/>
  <c r="H71"/>
  <c r="G71"/>
  <c r="F71"/>
  <c r="E71"/>
  <c r="D71"/>
  <c r="C71"/>
  <c r="B71"/>
  <c r="K70"/>
  <c r="F70"/>
  <c r="K69"/>
  <c r="F69"/>
  <c r="K68"/>
  <c r="F68"/>
  <c r="K67"/>
  <c r="J67"/>
  <c r="I67"/>
  <c r="H67"/>
  <c r="G67"/>
  <c r="F67"/>
  <c r="E67"/>
  <c r="D67"/>
  <c r="C67"/>
  <c r="B67"/>
  <c r="K66"/>
  <c r="J66"/>
  <c r="I66"/>
  <c r="H66"/>
  <c r="G66"/>
  <c r="F66"/>
  <c r="E66"/>
  <c r="D66"/>
  <c r="C66"/>
  <c r="B66"/>
  <c r="K64"/>
  <c r="F64"/>
  <c r="K63"/>
  <c r="F63"/>
  <c r="K62"/>
  <c r="J62"/>
  <c r="J57" s="1"/>
  <c r="I62"/>
  <c r="H62"/>
  <c r="H57" s="1"/>
  <c r="G62"/>
  <c r="F62"/>
  <c r="E62"/>
  <c r="D62"/>
  <c r="D57" s="1"/>
  <c r="C62"/>
  <c r="B62"/>
  <c r="B57" s="1"/>
  <c r="K61"/>
  <c r="F61"/>
  <c r="K60"/>
  <c r="F60"/>
  <c r="F58" s="1"/>
  <c r="F57" s="1"/>
  <c r="G59"/>
  <c r="K59" s="1"/>
  <c r="K58" s="1"/>
  <c r="K57" s="1"/>
  <c r="F59"/>
  <c r="J58"/>
  <c r="I58"/>
  <c r="H58"/>
  <c r="G58"/>
  <c r="E58"/>
  <c r="D58"/>
  <c r="C58"/>
  <c r="B58"/>
  <c r="I57"/>
  <c r="G57"/>
  <c r="E57"/>
  <c r="C57"/>
  <c r="K55"/>
  <c r="F55"/>
  <c r="K54"/>
  <c r="F54"/>
  <c r="K53"/>
  <c r="J53"/>
  <c r="I53"/>
  <c r="H53"/>
  <c r="G53"/>
  <c r="F53"/>
  <c r="E53"/>
  <c r="D53"/>
  <c r="C53"/>
  <c r="B53"/>
  <c r="K52"/>
  <c r="F52"/>
  <c r="K51"/>
  <c r="F51"/>
  <c r="I50"/>
  <c r="H50"/>
  <c r="K50" s="1"/>
  <c r="K49" s="1"/>
  <c r="K48" s="1"/>
  <c r="F50"/>
  <c r="J49"/>
  <c r="I49"/>
  <c r="G49"/>
  <c r="F49"/>
  <c r="E49"/>
  <c r="D49"/>
  <c r="C49"/>
  <c r="B49"/>
  <c r="J48"/>
  <c r="I48"/>
  <c r="G48"/>
  <c r="F48"/>
  <c r="E48"/>
  <c r="D48"/>
  <c r="C48"/>
  <c r="B48"/>
  <c r="K46"/>
  <c r="F46"/>
  <c r="K45"/>
  <c r="F45"/>
  <c r="K44"/>
  <c r="J44"/>
  <c r="I44"/>
  <c r="H44"/>
  <c r="G44"/>
  <c r="F44"/>
  <c r="E44"/>
  <c r="D44"/>
  <c r="C44"/>
  <c r="B44"/>
  <c r="K43"/>
  <c r="F43"/>
  <c r="K42"/>
  <c r="F42"/>
  <c r="K41"/>
  <c r="F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7"/>
  <c r="F37"/>
  <c r="K36"/>
  <c r="F36"/>
  <c r="K35"/>
  <c r="J35"/>
  <c r="I35"/>
  <c r="H35"/>
  <c r="G35"/>
  <c r="F35"/>
  <c r="E35"/>
  <c r="D35"/>
  <c r="C35"/>
  <c r="B35"/>
  <c r="K34"/>
  <c r="F34"/>
  <c r="K33"/>
  <c r="K31" s="1"/>
  <c r="K30" s="1"/>
  <c r="F33"/>
  <c r="K32"/>
  <c r="F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K28"/>
  <c r="H28"/>
  <c r="F28"/>
  <c r="F26" s="1"/>
  <c r="H27"/>
  <c r="K27" s="1"/>
  <c r="K26" s="1"/>
  <c r="F27"/>
  <c r="J26"/>
  <c r="I26"/>
  <c r="G26"/>
  <c r="E26"/>
  <c r="D26"/>
  <c r="C26"/>
  <c r="B26"/>
  <c r="K25"/>
  <c r="F25"/>
  <c r="K24"/>
  <c r="C24"/>
  <c r="F24" s="1"/>
  <c r="F21" s="1"/>
  <c r="H23"/>
  <c r="K23" s="1"/>
  <c r="F23"/>
  <c r="K22"/>
  <c r="K21" s="1"/>
  <c r="K20" s="1"/>
  <c r="I22"/>
  <c r="H22"/>
  <c r="H21" s="1"/>
  <c r="F22"/>
  <c r="J21"/>
  <c r="I21"/>
  <c r="G21"/>
  <c r="E21"/>
  <c r="D21"/>
  <c r="C21"/>
  <c r="B21"/>
  <c r="J20"/>
  <c r="I20"/>
  <c r="G20"/>
  <c r="E20"/>
  <c r="D20"/>
  <c r="C20"/>
  <c r="B20"/>
  <c r="E1189" i="40"/>
  <c r="B1190"/>
  <c r="B1189" s="1"/>
  <c r="C1190"/>
  <c r="H1190"/>
  <c r="H1191"/>
  <c r="C1192"/>
  <c r="C1189" s="1"/>
  <c r="F1192"/>
  <c r="F1189" s="1"/>
  <c r="H1192"/>
  <c r="B1194"/>
  <c r="C1194"/>
  <c r="E1194"/>
  <c r="F1194"/>
  <c r="H1194" s="1"/>
  <c r="B1195"/>
  <c r="C1195"/>
  <c r="E1195"/>
  <c r="F1195"/>
  <c r="H1195" l="1"/>
  <c r="H1193" s="1"/>
  <c r="C1193"/>
  <c r="K25" i="9"/>
  <c r="K24" s="1"/>
  <c r="K19" s="1"/>
  <c r="J38"/>
  <c r="J37" s="1"/>
  <c r="G47"/>
  <c r="G46" s="1"/>
  <c r="F20" i="7"/>
  <c r="H26"/>
  <c r="H20" s="1"/>
  <c r="H49"/>
  <c r="H48" s="1"/>
  <c r="E1193" i="40"/>
  <c r="E1188" s="1"/>
  <c r="B1193"/>
  <c r="B1188" s="1"/>
  <c r="H1189"/>
  <c r="H1188" s="1"/>
  <c r="C1188"/>
  <c r="F1193"/>
  <c r="F1188" s="1"/>
  <c r="O1168" l="1"/>
  <c r="N1168"/>
  <c r="M1168"/>
  <c r="L1168"/>
  <c r="H1168"/>
  <c r="C1168"/>
  <c r="D1168" s="1"/>
  <c r="O1167"/>
  <c r="N1167"/>
  <c r="M1167"/>
  <c r="L1167"/>
  <c r="H1167"/>
  <c r="C1167"/>
  <c r="D1167" s="1"/>
  <c r="D1166" s="1"/>
  <c r="O1166"/>
  <c r="N1166"/>
  <c r="M1166"/>
  <c r="L1166"/>
  <c r="K1166"/>
  <c r="J1166"/>
  <c r="J1161" s="1"/>
  <c r="I1166"/>
  <c r="H1166"/>
  <c r="G1166"/>
  <c r="F1166"/>
  <c r="F1161" s="1"/>
  <c r="E1166"/>
  <c r="C1166"/>
  <c r="B1166"/>
  <c r="V1165"/>
  <c r="O1165"/>
  <c r="N1165"/>
  <c r="I1165"/>
  <c r="M1165" s="1"/>
  <c r="H1165"/>
  <c r="H1162" s="1"/>
  <c r="H1161" s="1"/>
  <c r="D1165"/>
  <c r="V1164"/>
  <c r="V1163" s="1"/>
  <c r="O1164"/>
  <c r="N1164"/>
  <c r="N1162" s="1"/>
  <c r="N1161" s="1"/>
  <c r="M1164"/>
  <c r="L1164"/>
  <c r="H1164"/>
  <c r="C1164"/>
  <c r="U1163"/>
  <c r="T1163"/>
  <c r="T1158" s="1"/>
  <c r="T1120" s="1"/>
  <c r="S1163"/>
  <c r="O1163"/>
  <c r="N1163"/>
  <c r="I1163"/>
  <c r="H1163"/>
  <c r="D1163"/>
  <c r="V1162"/>
  <c r="O1162"/>
  <c r="O1161" s="1"/>
  <c r="K1162"/>
  <c r="J1162"/>
  <c r="G1162"/>
  <c r="F1162"/>
  <c r="E1162"/>
  <c r="E1161" s="1"/>
  <c r="B1162"/>
  <c r="V1161"/>
  <c r="K1161"/>
  <c r="G1161"/>
  <c r="B1161"/>
  <c r="V1160"/>
  <c r="V1159" s="1"/>
  <c r="U1159"/>
  <c r="U1158" s="1"/>
  <c r="U1120" s="1"/>
  <c r="T1159"/>
  <c r="S1159"/>
  <c r="S1158" s="1"/>
  <c r="O1159"/>
  <c r="N1159"/>
  <c r="M1159"/>
  <c r="L1159"/>
  <c r="L1157" s="1"/>
  <c r="H1159"/>
  <c r="D1159"/>
  <c r="L1158"/>
  <c r="G1158"/>
  <c r="O1158" s="1"/>
  <c r="O1157" s="1"/>
  <c r="F1158"/>
  <c r="E1158"/>
  <c r="M1158" s="1"/>
  <c r="K1157"/>
  <c r="J1157"/>
  <c r="I1157"/>
  <c r="B1157"/>
  <c r="V1156"/>
  <c r="O1156"/>
  <c r="N1156"/>
  <c r="M1156"/>
  <c r="P1156" s="1"/>
  <c r="L1156"/>
  <c r="H1156"/>
  <c r="D1156"/>
  <c r="V1155"/>
  <c r="V1154" s="1"/>
  <c r="O1155"/>
  <c r="N1155"/>
  <c r="M1155"/>
  <c r="L1155"/>
  <c r="H1155"/>
  <c r="D1155"/>
  <c r="U1154"/>
  <c r="T1154"/>
  <c r="S1154"/>
  <c r="O1154"/>
  <c r="J1154"/>
  <c r="N1154" s="1"/>
  <c r="I1154"/>
  <c r="H1154"/>
  <c r="D1154"/>
  <c r="V1153"/>
  <c r="K1153"/>
  <c r="G1153"/>
  <c r="F1153"/>
  <c r="E1153"/>
  <c r="C1153"/>
  <c r="B1153"/>
  <c r="V1152"/>
  <c r="V1151"/>
  <c r="V1150" s="1"/>
  <c r="U1150"/>
  <c r="T1150"/>
  <c r="T1149" s="1"/>
  <c r="T1119" s="1"/>
  <c r="S1150"/>
  <c r="O1150"/>
  <c r="N1150"/>
  <c r="M1150"/>
  <c r="P1150" s="1"/>
  <c r="L1150"/>
  <c r="H1150"/>
  <c r="D1150"/>
  <c r="U1149"/>
  <c r="U1119" s="1"/>
  <c r="S1149"/>
  <c r="O1149"/>
  <c r="N1149"/>
  <c r="M1149"/>
  <c r="L1149"/>
  <c r="H1149"/>
  <c r="N1148"/>
  <c r="L1148"/>
  <c r="K1148"/>
  <c r="J1148"/>
  <c r="I1148"/>
  <c r="G1148"/>
  <c r="G1143" s="1"/>
  <c r="F1148"/>
  <c r="E1148"/>
  <c r="B1148"/>
  <c r="V1147"/>
  <c r="O1147"/>
  <c r="N1147"/>
  <c r="M1147"/>
  <c r="L1147"/>
  <c r="H1147"/>
  <c r="D1147"/>
  <c r="V1146"/>
  <c r="O1146"/>
  <c r="N1146"/>
  <c r="N1144" s="1"/>
  <c r="M1146"/>
  <c r="L1146"/>
  <c r="H1146"/>
  <c r="C1146" s="1"/>
  <c r="V1145"/>
  <c r="U1145"/>
  <c r="T1145"/>
  <c r="S1145"/>
  <c r="O1145"/>
  <c r="O1144" s="1"/>
  <c r="N1145"/>
  <c r="M1145"/>
  <c r="P1145" s="1"/>
  <c r="L1145"/>
  <c r="H1145"/>
  <c r="D1145"/>
  <c r="V1144"/>
  <c r="L1144"/>
  <c r="L1143" s="1"/>
  <c r="K1144"/>
  <c r="J1144"/>
  <c r="J1143" s="1"/>
  <c r="I1144"/>
  <c r="H1144"/>
  <c r="G1144"/>
  <c r="F1144"/>
  <c r="F1143" s="1"/>
  <c r="E1144"/>
  <c r="B1144"/>
  <c r="B1143" s="1"/>
  <c r="V1143"/>
  <c r="N1143"/>
  <c r="K1143"/>
  <c r="I1143"/>
  <c r="E1143"/>
  <c r="V1142"/>
  <c r="V1141" s="1"/>
  <c r="V1140" s="1"/>
  <c r="V1117" s="1"/>
  <c r="U1141"/>
  <c r="T1141"/>
  <c r="T1140" s="1"/>
  <c r="T1117" s="1"/>
  <c r="S1141"/>
  <c r="O1141"/>
  <c r="O1139" s="1"/>
  <c r="N1141"/>
  <c r="M1141"/>
  <c r="P1141" s="1"/>
  <c r="L1141"/>
  <c r="H1141"/>
  <c r="C1141" s="1"/>
  <c r="U1140"/>
  <c r="S1140"/>
  <c r="O1140"/>
  <c r="N1140"/>
  <c r="N1139" s="1"/>
  <c r="M1140"/>
  <c r="L1140"/>
  <c r="H1140"/>
  <c r="C1140"/>
  <c r="D1140" s="1"/>
  <c r="L1139"/>
  <c r="K1139"/>
  <c r="J1139"/>
  <c r="I1139"/>
  <c r="H1139"/>
  <c r="G1139"/>
  <c r="F1139"/>
  <c r="E1139"/>
  <c r="B1139"/>
  <c r="B1134" s="1"/>
  <c r="V1138"/>
  <c r="O1138"/>
  <c r="N1138"/>
  <c r="I1138"/>
  <c r="L1138" s="1"/>
  <c r="H1138"/>
  <c r="D1138"/>
  <c r="D1129" s="1"/>
  <c r="V1137"/>
  <c r="O1137"/>
  <c r="N1137"/>
  <c r="I1137"/>
  <c r="H1137"/>
  <c r="D1137"/>
  <c r="V1136"/>
  <c r="U1136"/>
  <c r="U1131" s="1"/>
  <c r="U1116" s="1"/>
  <c r="T1136"/>
  <c r="S1136"/>
  <c r="O1136"/>
  <c r="N1136"/>
  <c r="M1136"/>
  <c r="L1136"/>
  <c r="H1136"/>
  <c r="D1136"/>
  <c r="D1135" s="1"/>
  <c r="V1135"/>
  <c r="N1135"/>
  <c r="N1134" s="1"/>
  <c r="K1135"/>
  <c r="J1135"/>
  <c r="J1134" s="1"/>
  <c r="H1135"/>
  <c r="G1135"/>
  <c r="F1135"/>
  <c r="E1135"/>
  <c r="C1135"/>
  <c r="B1135"/>
  <c r="V1134"/>
  <c r="K1134"/>
  <c r="G1134"/>
  <c r="E1134"/>
  <c r="V1133"/>
  <c r="V1132"/>
  <c r="V1131" s="1"/>
  <c r="V1116" s="1"/>
  <c r="U1132"/>
  <c r="T1132"/>
  <c r="T1131" s="1"/>
  <c r="S1132"/>
  <c r="K1132"/>
  <c r="J1132"/>
  <c r="I1132"/>
  <c r="L1132" s="1"/>
  <c r="G1132"/>
  <c r="F1132"/>
  <c r="N1132" s="1"/>
  <c r="E1132"/>
  <c r="B1132"/>
  <c r="S1131"/>
  <c r="S1116" s="1"/>
  <c r="K1131"/>
  <c r="J1131"/>
  <c r="J1130" s="1"/>
  <c r="I1131"/>
  <c r="G1131"/>
  <c r="G1130" s="1"/>
  <c r="E1131"/>
  <c r="B1131"/>
  <c r="E1130"/>
  <c r="V1129"/>
  <c r="K1129"/>
  <c r="J1129"/>
  <c r="G1129"/>
  <c r="F1129"/>
  <c r="E1129"/>
  <c r="C1129"/>
  <c r="B1129"/>
  <c r="V1128"/>
  <c r="V1127" s="1"/>
  <c r="K1128"/>
  <c r="J1128"/>
  <c r="G1128"/>
  <c r="F1128"/>
  <c r="E1128"/>
  <c r="B1128"/>
  <c r="U1127"/>
  <c r="T1127"/>
  <c r="S1127"/>
  <c r="K1127"/>
  <c r="J1127"/>
  <c r="G1127"/>
  <c r="F1127"/>
  <c r="E1127"/>
  <c r="C1127"/>
  <c r="B1127"/>
  <c r="V1126"/>
  <c r="K1126"/>
  <c r="J1126"/>
  <c r="G1126"/>
  <c r="F1126"/>
  <c r="E1126"/>
  <c r="B1126"/>
  <c r="V1125"/>
  <c r="V1124"/>
  <c r="U1123"/>
  <c r="U1122" s="1"/>
  <c r="U1118" s="1"/>
  <c r="T1123"/>
  <c r="S1123"/>
  <c r="S1122" s="1"/>
  <c r="S1118" s="1"/>
  <c r="O1123"/>
  <c r="N1123"/>
  <c r="M1123"/>
  <c r="L1123"/>
  <c r="H1123"/>
  <c r="H1121" s="1"/>
  <c r="D1123"/>
  <c r="T1122"/>
  <c r="T1118" s="1"/>
  <c r="O1122"/>
  <c r="N1122"/>
  <c r="N1121" s="1"/>
  <c r="M1122"/>
  <c r="L1122"/>
  <c r="L1121" s="1"/>
  <c r="H1122"/>
  <c r="C1122" s="1"/>
  <c r="AA1121"/>
  <c r="Z1121"/>
  <c r="Y1121"/>
  <c r="K1121"/>
  <c r="J1121"/>
  <c r="I1121"/>
  <c r="G1121"/>
  <c r="F1121"/>
  <c r="E1121"/>
  <c r="B1121"/>
  <c r="AA1120"/>
  <c r="Z1120"/>
  <c r="Z1119" s="1"/>
  <c r="Y1120"/>
  <c r="S1120"/>
  <c r="O1120"/>
  <c r="N1120"/>
  <c r="I1120"/>
  <c r="L1120" s="1"/>
  <c r="H1120"/>
  <c r="H1117" s="1"/>
  <c r="H1116" s="1"/>
  <c r="D1120"/>
  <c r="AA1119"/>
  <c r="S1119"/>
  <c r="O1119"/>
  <c r="N1119"/>
  <c r="I1119"/>
  <c r="L1119" s="1"/>
  <c r="H1119"/>
  <c r="C1119" s="1"/>
  <c r="AA1118"/>
  <c r="Z1118"/>
  <c r="Y1118"/>
  <c r="K1118"/>
  <c r="O1118" s="1"/>
  <c r="O1117" s="1"/>
  <c r="J1118"/>
  <c r="I1118"/>
  <c r="M1118" s="1"/>
  <c r="H1118"/>
  <c r="D1118"/>
  <c r="AA1117"/>
  <c r="Z1117"/>
  <c r="Y1117"/>
  <c r="U1117"/>
  <c r="S1117"/>
  <c r="G1117"/>
  <c r="F1117"/>
  <c r="F1116" s="1"/>
  <c r="E1117"/>
  <c r="B1117"/>
  <c r="AA1116"/>
  <c r="Z1116"/>
  <c r="Z1115" s="1"/>
  <c r="Y1116"/>
  <c r="T1116"/>
  <c r="T1115" s="1"/>
  <c r="G1116"/>
  <c r="E1116"/>
  <c r="B1116"/>
  <c r="Z1114"/>
  <c r="O1114"/>
  <c r="N1114"/>
  <c r="M1114"/>
  <c r="L1114"/>
  <c r="H1114"/>
  <c r="C1114"/>
  <c r="D1114" s="1"/>
  <c r="O1113"/>
  <c r="N1113"/>
  <c r="P1113" s="1"/>
  <c r="M1113"/>
  <c r="L1113"/>
  <c r="L1112" s="1"/>
  <c r="L1107" s="1"/>
  <c r="H1113"/>
  <c r="D1113"/>
  <c r="D1112" s="1"/>
  <c r="C1113"/>
  <c r="O1112"/>
  <c r="M1112"/>
  <c r="K1112"/>
  <c r="J1112"/>
  <c r="I1112"/>
  <c r="G1112"/>
  <c r="F1112"/>
  <c r="E1112"/>
  <c r="C1112"/>
  <c r="C1107" s="1"/>
  <c r="B1112"/>
  <c r="O1111"/>
  <c r="N1111"/>
  <c r="M1111"/>
  <c r="P1111" s="1"/>
  <c r="L1111"/>
  <c r="H1111"/>
  <c r="D1111"/>
  <c r="O1110"/>
  <c r="N1110"/>
  <c r="M1110"/>
  <c r="L1110"/>
  <c r="H1110"/>
  <c r="D1110"/>
  <c r="O1109"/>
  <c r="O1108" s="1"/>
  <c r="O1107" s="1"/>
  <c r="N1109"/>
  <c r="M1109"/>
  <c r="P1109" s="1"/>
  <c r="L1109"/>
  <c r="H1109"/>
  <c r="H1108" s="1"/>
  <c r="D1109"/>
  <c r="N1108"/>
  <c r="L1108"/>
  <c r="K1108"/>
  <c r="K1107" s="1"/>
  <c r="J1108"/>
  <c r="I1108"/>
  <c r="I1107" s="1"/>
  <c r="G1108"/>
  <c r="F1108"/>
  <c r="F1107" s="1"/>
  <c r="E1108"/>
  <c r="D1108"/>
  <c r="C1108"/>
  <c r="B1108"/>
  <c r="J1107"/>
  <c r="G1107"/>
  <c r="E1107"/>
  <c r="B1107"/>
  <c r="O1105"/>
  <c r="N1105"/>
  <c r="N1103" s="1"/>
  <c r="M1105"/>
  <c r="L1105"/>
  <c r="L1103" s="1"/>
  <c r="H1105"/>
  <c r="C1105" s="1"/>
  <c r="O1104"/>
  <c r="O1103" s="1"/>
  <c r="O1098" s="1"/>
  <c r="N1104"/>
  <c r="M1104"/>
  <c r="L1104"/>
  <c r="H1104"/>
  <c r="C1104" s="1"/>
  <c r="K1103"/>
  <c r="J1103"/>
  <c r="J1098" s="1"/>
  <c r="I1103"/>
  <c r="G1103"/>
  <c r="G1098" s="1"/>
  <c r="F1103"/>
  <c r="E1103"/>
  <c r="E1098" s="1"/>
  <c r="B1103"/>
  <c r="O1102"/>
  <c r="N1102"/>
  <c r="M1102"/>
  <c r="L1102"/>
  <c r="H1102"/>
  <c r="D1102"/>
  <c r="O1101"/>
  <c r="O1099" s="1"/>
  <c r="N1101"/>
  <c r="I1101"/>
  <c r="H1101"/>
  <c r="C1101"/>
  <c r="D1101" s="1"/>
  <c r="O1100"/>
  <c r="N1100"/>
  <c r="N1099" s="1"/>
  <c r="M1100"/>
  <c r="L1100"/>
  <c r="H1100"/>
  <c r="D1100"/>
  <c r="K1099"/>
  <c r="J1099"/>
  <c r="H1099"/>
  <c r="G1099"/>
  <c r="F1099"/>
  <c r="F1098" s="1"/>
  <c r="E1099"/>
  <c r="B1099"/>
  <c r="B1098" s="1"/>
  <c r="O1096"/>
  <c r="N1096"/>
  <c r="M1096"/>
  <c r="P1096" s="1"/>
  <c r="L1096"/>
  <c r="H1096"/>
  <c r="D1096"/>
  <c r="O1095"/>
  <c r="O1094" s="1"/>
  <c r="N1095"/>
  <c r="M1095"/>
  <c r="L1095"/>
  <c r="H1095"/>
  <c r="C1095" s="1"/>
  <c r="N1094"/>
  <c r="L1094"/>
  <c r="K1094"/>
  <c r="J1094"/>
  <c r="I1094"/>
  <c r="G1094"/>
  <c r="G1089" s="1"/>
  <c r="F1094"/>
  <c r="E1094"/>
  <c r="E1089" s="1"/>
  <c r="B1094"/>
  <c r="O1093"/>
  <c r="N1093"/>
  <c r="M1093"/>
  <c r="L1093"/>
  <c r="H1093"/>
  <c r="D1093"/>
  <c r="O1092"/>
  <c r="O1090" s="1"/>
  <c r="N1092"/>
  <c r="I1092"/>
  <c r="H1092"/>
  <c r="C1092"/>
  <c r="O1091"/>
  <c r="N1091"/>
  <c r="N1090" s="1"/>
  <c r="N1089" s="1"/>
  <c r="M1091"/>
  <c r="L1091"/>
  <c r="H1091"/>
  <c r="D1091"/>
  <c r="K1090"/>
  <c r="J1090"/>
  <c r="H1090"/>
  <c r="G1090"/>
  <c r="F1090"/>
  <c r="F1089" s="1"/>
  <c r="E1090"/>
  <c r="B1090"/>
  <c r="B1089" s="1"/>
  <c r="K1089"/>
  <c r="O1087"/>
  <c r="N1087"/>
  <c r="N1085" s="1"/>
  <c r="N1080" s="1"/>
  <c r="M1087"/>
  <c r="L1087"/>
  <c r="L1085" s="1"/>
  <c r="H1087"/>
  <c r="D1087"/>
  <c r="D1085" s="1"/>
  <c r="C1087"/>
  <c r="O1086"/>
  <c r="N1086"/>
  <c r="M1086"/>
  <c r="L1086"/>
  <c r="H1086"/>
  <c r="H1085" s="1"/>
  <c r="D1086"/>
  <c r="O1085"/>
  <c r="O1080" s="1"/>
  <c r="K1085"/>
  <c r="J1085"/>
  <c r="I1085"/>
  <c r="G1085"/>
  <c r="F1085"/>
  <c r="E1085"/>
  <c r="C1085"/>
  <c r="B1085"/>
  <c r="O1084"/>
  <c r="N1084"/>
  <c r="M1084"/>
  <c r="P1084" s="1"/>
  <c r="L1084"/>
  <c r="H1084"/>
  <c r="D1084"/>
  <c r="O1083"/>
  <c r="N1083"/>
  <c r="I1083"/>
  <c r="L1083" s="1"/>
  <c r="L1081" s="1"/>
  <c r="H1083"/>
  <c r="D1083"/>
  <c r="D1081" s="1"/>
  <c r="C1083"/>
  <c r="O1082"/>
  <c r="N1082"/>
  <c r="M1082"/>
  <c r="P1082" s="1"/>
  <c r="L1082"/>
  <c r="H1082"/>
  <c r="H1081" s="1"/>
  <c r="D1082"/>
  <c r="O1081"/>
  <c r="N1081"/>
  <c r="K1081"/>
  <c r="K1080" s="1"/>
  <c r="J1081"/>
  <c r="I1081"/>
  <c r="I1080" s="1"/>
  <c r="G1081"/>
  <c r="F1081"/>
  <c r="F1080" s="1"/>
  <c r="E1081"/>
  <c r="C1081"/>
  <c r="C1080" s="1"/>
  <c r="B1081"/>
  <c r="J1080"/>
  <c r="G1080"/>
  <c r="E1080"/>
  <c r="B1080"/>
  <c r="O1078"/>
  <c r="N1078"/>
  <c r="M1078"/>
  <c r="L1078"/>
  <c r="H1078"/>
  <c r="D1078"/>
  <c r="O1077"/>
  <c r="N1077"/>
  <c r="M1077"/>
  <c r="L1077"/>
  <c r="H1077"/>
  <c r="H1076" s="1"/>
  <c r="D1077"/>
  <c r="D1076" s="1"/>
  <c r="O1076"/>
  <c r="N1076"/>
  <c r="M1076"/>
  <c r="L1076"/>
  <c r="K1076"/>
  <c r="J1076"/>
  <c r="I1076"/>
  <c r="G1076"/>
  <c r="G1071" s="1"/>
  <c r="F1076"/>
  <c r="E1076"/>
  <c r="E1071" s="1"/>
  <c r="C1076"/>
  <c r="C1071" s="1"/>
  <c r="B1076"/>
  <c r="O1075"/>
  <c r="N1075"/>
  <c r="M1075"/>
  <c r="P1075" s="1"/>
  <c r="L1075"/>
  <c r="H1075"/>
  <c r="H1072" s="1"/>
  <c r="D1075"/>
  <c r="O1074"/>
  <c r="O1072" s="1"/>
  <c r="O1071" s="1"/>
  <c r="N1074"/>
  <c r="I1074"/>
  <c r="H1074"/>
  <c r="D1074"/>
  <c r="O1073"/>
  <c r="N1073"/>
  <c r="N1072" s="1"/>
  <c r="N1071" s="1"/>
  <c r="M1073"/>
  <c r="L1073"/>
  <c r="H1073"/>
  <c r="D1073"/>
  <c r="D1072" s="1"/>
  <c r="D1071" s="1"/>
  <c r="K1072"/>
  <c r="J1072"/>
  <c r="G1072"/>
  <c r="F1072"/>
  <c r="F1071" s="1"/>
  <c r="E1072"/>
  <c r="C1072"/>
  <c r="B1072"/>
  <c r="B1071" s="1"/>
  <c r="J1071"/>
  <c r="K1069"/>
  <c r="J1069"/>
  <c r="I1069"/>
  <c r="I1067" s="1"/>
  <c r="G1069"/>
  <c r="F1069"/>
  <c r="E1069"/>
  <c r="B1069"/>
  <c r="B1067" s="1"/>
  <c r="K1068"/>
  <c r="J1068"/>
  <c r="J1067" s="1"/>
  <c r="I1068"/>
  <c r="G1068"/>
  <c r="F1068"/>
  <c r="E1068"/>
  <c r="B1068"/>
  <c r="K1067"/>
  <c r="F1067"/>
  <c r="K1066"/>
  <c r="J1066"/>
  <c r="I1066"/>
  <c r="G1066"/>
  <c r="O1066" s="1"/>
  <c r="F1066"/>
  <c r="E1066"/>
  <c r="D1066"/>
  <c r="C1066"/>
  <c r="B1066"/>
  <c r="K1065"/>
  <c r="J1065"/>
  <c r="G1065"/>
  <c r="F1065"/>
  <c r="N1065" s="1"/>
  <c r="E1065"/>
  <c r="B1065"/>
  <c r="K1064"/>
  <c r="K1063" s="1"/>
  <c r="I1064"/>
  <c r="G1064"/>
  <c r="F1064"/>
  <c r="E1064"/>
  <c r="C1064"/>
  <c r="B1064"/>
  <c r="G1063"/>
  <c r="B1063"/>
  <c r="B1062"/>
  <c r="O1060"/>
  <c r="N1060"/>
  <c r="M1060"/>
  <c r="L1060"/>
  <c r="H1060"/>
  <c r="D1060"/>
  <c r="O1059"/>
  <c r="N1059"/>
  <c r="M1059"/>
  <c r="L1059"/>
  <c r="H1059"/>
  <c r="D1059"/>
  <c r="O1058"/>
  <c r="N1058"/>
  <c r="M1058"/>
  <c r="L1058"/>
  <c r="K1058"/>
  <c r="J1058"/>
  <c r="I1058"/>
  <c r="H1058"/>
  <c r="G1058"/>
  <c r="F1058"/>
  <c r="E1058"/>
  <c r="D1058"/>
  <c r="C1058"/>
  <c r="B1058"/>
  <c r="O1057"/>
  <c r="N1057"/>
  <c r="M1057"/>
  <c r="L1057"/>
  <c r="H1057"/>
  <c r="D1057"/>
  <c r="O1056"/>
  <c r="N1056"/>
  <c r="M1056"/>
  <c r="L1056"/>
  <c r="H1056"/>
  <c r="D1056"/>
  <c r="O1055"/>
  <c r="N1055"/>
  <c r="M1055"/>
  <c r="L1055"/>
  <c r="H1055"/>
  <c r="D1055"/>
  <c r="O1054"/>
  <c r="N1054"/>
  <c r="M1054"/>
  <c r="L1054"/>
  <c r="K1054"/>
  <c r="J1054"/>
  <c r="I1054"/>
  <c r="H1054"/>
  <c r="G1054"/>
  <c r="F1054"/>
  <c r="E1054"/>
  <c r="D1054"/>
  <c r="C1054"/>
  <c r="B1054"/>
  <c r="O1053"/>
  <c r="N1053"/>
  <c r="M1053"/>
  <c r="L1053"/>
  <c r="K1053"/>
  <c r="J1053"/>
  <c r="I1053"/>
  <c r="H1053"/>
  <c r="G1053"/>
  <c r="F1053"/>
  <c r="E1053"/>
  <c r="D1053"/>
  <c r="C1053"/>
  <c r="B1053"/>
  <c r="O1051"/>
  <c r="N1051"/>
  <c r="M1051"/>
  <c r="L1051"/>
  <c r="H1051"/>
  <c r="D1051"/>
  <c r="O1050"/>
  <c r="N1050"/>
  <c r="M1050"/>
  <c r="L1050"/>
  <c r="H1050"/>
  <c r="D1050"/>
  <c r="D1023" s="1"/>
  <c r="O1049"/>
  <c r="N1049"/>
  <c r="M1049"/>
  <c r="L1049"/>
  <c r="K1049"/>
  <c r="J1049"/>
  <c r="I1049"/>
  <c r="H1049"/>
  <c r="G1049"/>
  <c r="F1049"/>
  <c r="E1049"/>
  <c r="D1049"/>
  <c r="C1049"/>
  <c r="B1049"/>
  <c r="O1048"/>
  <c r="N1048"/>
  <c r="M1048"/>
  <c r="L1048"/>
  <c r="H1048"/>
  <c r="D1048"/>
  <c r="D1021" s="1"/>
  <c r="O1047"/>
  <c r="N1047"/>
  <c r="M1047"/>
  <c r="L1047"/>
  <c r="H1047"/>
  <c r="D1047"/>
  <c r="O1046"/>
  <c r="N1046"/>
  <c r="M1046"/>
  <c r="L1046"/>
  <c r="H1046"/>
  <c r="D1046"/>
  <c r="D1019" s="1"/>
  <c r="O1045"/>
  <c r="N1045"/>
  <c r="N1044" s="1"/>
  <c r="M1045"/>
  <c r="L1045"/>
  <c r="L1044" s="1"/>
  <c r="K1045"/>
  <c r="J1045"/>
  <c r="J1044" s="1"/>
  <c r="I1045"/>
  <c r="H1045"/>
  <c r="H1044" s="1"/>
  <c r="G1045"/>
  <c r="F1045"/>
  <c r="F1044" s="1"/>
  <c r="E1045"/>
  <c r="D1045"/>
  <c r="D1044" s="1"/>
  <c r="C1045"/>
  <c r="B1045"/>
  <c r="B1044" s="1"/>
  <c r="O1044"/>
  <c r="M1044"/>
  <c r="K1044"/>
  <c r="I1044"/>
  <c r="G1044"/>
  <c r="E1044"/>
  <c r="C1044"/>
  <c r="O1042"/>
  <c r="N1042"/>
  <c r="M1042"/>
  <c r="L1042"/>
  <c r="H1042"/>
  <c r="D1042"/>
  <c r="O1041"/>
  <c r="O1040" s="1"/>
  <c r="N1041"/>
  <c r="M1041"/>
  <c r="P1041" s="1"/>
  <c r="L1041"/>
  <c r="H1041"/>
  <c r="H1040" s="1"/>
  <c r="D1041"/>
  <c r="N1040"/>
  <c r="L1040"/>
  <c r="K1040"/>
  <c r="J1040"/>
  <c r="I1040"/>
  <c r="G1040"/>
  <c r="F1040"/>
  <c r="E1040"/>
  <c r="D1040"/>
  <c r="C1040"/>
  <c r="B1040"/>
  <c r="O1039"/>
  <c r="N1039"/>
  <c r="I1039"/>
  <c r="M1039" s="1"/>
  <c r="H1039"/>
  <c r="D1039"/>
  <c r="O1038"/>
  <c r="N1038"/>
  <c r="I1038"/>
  <c r="H1038"/>
  <c r="D1038"/>
  <c r="D1036" s="1"/>
  <c r="D1035" s="1"/>
  <c r="O1037"/>
  <c r="J1037"/>
  <c r="I1037"/>
  <c r="H1037"/>
  <c r="H1036" s="1"/>
  <c r="D1037"/>
  <c r="K1036"/>
  <c r="K1035" s="1"/>
  <c r="G1036"/>
  <c r="F1036"/>
  <c r="E1036"/>
  <c r="E1035" s="1"/>
  <c r="C1036"/>
  <c r="C1035" s="1"/>
  <c r="B1036"/>
  <c r="G1035"/>
  <c r="O1033"/>
  <c r="N1033"/>
  <c r="M1033"/>
  <c r="L1033"/>
  <c r="L1031" s="1"/>
  <c r="H1033"/>
  <c r="C1033" s="1"/>
  <c r="O1032"/>
  <c r="O1031" s="1"/>
  <c r="N1032"/>
  <c r="M1032"/>
  <c r="P1032" s="1"/>
  <c r="L1032"/>
  <c r="H1032"/>
  <c r="H1031" s="1"/>
  <c r="D1032"/>
  <c r="N1031"/>
  <c r="K1031"/>
  <c r="J1031"/>
  <c r="I1031"/>
  <c r="G1031"/>
  <c r="F1031"/>
  <c r="E1031"/>
  <c r="B1031"/>
  <c r="B1026" s="1"/>
  <c r="O1030"/>
  <c r="N1030"/>
  <c r="I1030"/>
  <c r="M1030" s="1"/>
  <c r="H1030"/>
  <c r="D1030"/>
  <c r="O1029"/>
  <c r="N1029"/>
  <c r="M1029"/>
  <c r="L1029"/>
  <c r="H1029"/>
  <c r="C1029" s="1"/>
  <c r="D1029" s="1"/>
  <c r="O1028"/>
  <c r="N1028"/>
  <c r="I1028"/>
  <c r="M1028" s="1"/>
  <c r="H1028"/>
  <c r="D1028"/>
  <c r="K1027"/>
  <c r="J1027"/>
  <c r="I1027"/>
  <c r="I1026" s="1"/>
  <c r="G1027"/>
  <c r="F1027"/>
  <c r="F1026" s="1"/>
  <c r="E1027"/>
  <c r="C1027"/>
  <c r="B1027"/>
  <c r="K1026"/>
  <c r="G1026"/>
  <c r="E1026"/>
  <c r="K1024"/>
  <c r="J1024"/>
  <c r="I1024"/>
  <c r="G1024"/>
  <c r="F1024"/>
  <c r="E1024"/>
  <c r="B1024"/>
  <c r="K1023"/>
  <c r="J1023"/>
  <c r="I1023"/>
  <c r="G1023"/>
  <c r="F1023"/>
  <c r="E1023"/>
  <c r="C1023"/>
  <c r="B1023"/>
  <c r="J1022"/>
  <c r="K1021"/>
  <c r="J1021"/>
  <c r="I1021"/>
  <c r="L1021" s="1"/>
  <c r="G1021"/>
  <c r="F1021"/>
  <c r="N1021" s="1"/>
  <c r="E1021"/>
  <c r="C1021"/>
  <c r="B1021"/>
  <c r="K1020"/>
  <c r="J1020"/>
  <c r="G1020"/>
  <c r="O1020" s="1"/>
  <c r="F1020"/>
  <c r="E1020"/>
  <c r="B1020"/>
  <c r="K1019"/>
  <c r="I1019"/>
  <c r="G1019"/>
  <c r="F1019"/>
  <c r="E1019"/>
  <c r="C1019"/>
  <c r="B1019"/>
  <c r="B1018"/>
  <c r="O1015"/>
  <c r="N1015"/>
  <c r="N1013" s="1"/>
  <c r="M1015"/>
  <c r="L1015"/>
  <c r="H1015"/>
  <c r="C1015" s="1"/>
  <c r="D1015" s="1"/>
  <c r="O1014"/>
  <c r="O1013" s="1"/>
  <c r="N1014"/>
  <c r="M1014"/>
  <c r="L1014"/>
  <c r="H1014"/>
  <c r="H1013" s="1"/>
  <c r="L1013"/>
  <c r="K1013"/>
  <c r="J1013"/>
  <c r="I1013"/>
  <c r="G1013"/>
  <c r="F1013"/>
  <c r="E1013"/>
  <c r="B1013"/>
  <c r="O1012"/>
  <c r="N1012"/>
  <c r="M1012"/>
  <c r="L1012"/>
  <c r="H1012"/>
  <c r="D1012"/>
  <c r="O1011"/>
  <c r="N1011"/>
  <c r="M1011"/>
  <c r="P1011" s="1"/>
  <c r="L1011"/>
  <c r="H1011"/>
  <c r="D1011"/>
  <c r="O1010"/>
  <c r="N1010"/>
  <c r="M1010"/>
  <c r="M1009" s="1"/>
  <c r="L1010"/>
  <c r="L1009" s="1"/>
  <c r="H1010"/>
  <c r="D1010"/>
  <c r="D1009" s="1"/>
  <c r="O1009"/>
  <c r="O1008" s="1"/>
  <c r="K1009"/>
  <c r="J1009"/>
  <c r="J1008" s="1"/>
  <c r="I1009"/>
  <c r="G1009"/>
  <c r="G1008" s="1"/>
  <c r="F1009"/>
  <c r="E1009"/>
  <c r="E1008" s="1"/>
  <c r="C1009"/>
  <c r="B1009"/>
  <c r="K1008"/>
  <c r="I1008"/>
  <c r="F1008"/>
  <c r="B1008"/>
  <c r="O1006"/>
  <c r="N1006"/>
  <c r="M1006"/>
  <c r="L1006"/>
  <c r="H1006"/>
  <c r="C1006"/>
  <c r="O1005"/>
  <c r="N1005"/>
  <c r="P1005" s="1"/>
  <c r="M1005"/>
  <c r="L1005"/>
  <c r="L1004" s="1"/>
  <c r="L999" s="1"/>
  <c r="H1005"/>
  <c r="D1005"/>
  <c r="M1004"/>
  <c r="K1004"/>
  <c r="J1004"/>
  <c r="I1004"/>
  <c r="H1004"/>
  <c r="G1004"/>
  <c r="F1004"/>
  <c r="E1004"/>
  <c r="B1004"/>
  <c r="O1003"/>
  <c r="N1003"/>
  <c r="M1003"/>
  <c r="L1003"/>
  <c r="H1003"/>
  <c r="D1003"/>
  <c r="O1002"/>
  <c r="N1002"/>
  <c r="M1002"/>
  <c r="L1002"/>
  <c r="L1000" s="1"/>
  <c r="H1002"/>
  <c r="C1002" s="1"/>
  <c r="O1001"/>
  <c r="O1000" s="1"/>
  <c r="N1001"/>
  <c r="M1001"/>
  <c r="P1001" s="1"/>
  <c r="L1001"/>
  <c r="H1001"/>
  <c r="H1000" s="1"/>
  <c r="H999" s="1"/>
  <c r="D1001"/>
  <c r="N1000"/>
  <c r="K1000"/>
  <c r="K999" s="1"/>
  <c r="J1000"/>
  <c r="I1000"/>
  <c r="I999" s="1"/>
  <c r="G1000"/>
  <c r="F1000"/>
  <c r="E1000"/>
  <c r="B1000"/>
  <c r="B999" s="1"/>
  <c r="J999"/>
  <c r="F999"/>
  <c r="O997"/>
  <c r="N997"/>
  <c r="M997"/>
  <c r="L997"/>
  <c r="H997"/>
  <c r="D997"/>
  <c r="O996"/>
  <c r="N996"/>
  <c r="M996"/>
  <c r="M995" s="1"/>
  <c r="L996"/>
  <c r="L995" s="1"/>
  <c r="H996"/>
  <c r="H995" s="1"/>
  <c r="D996"/>
  <c r="O995"/>
  <c r="K995"/>
  <c r="K990" s="1"/>
  <c r="J995"/>
  <c r="I995"/>
  <c r="G995"/>
  <c r="F995"/>
  <c r="F990" s="1"/>
  <c r="E995"/>
  <c r="D995"/>
  <c r="C995"/>
  <c r="B995"/>
  <c r="B990" s="1"/>
  <c r="O994"/>
  <c r="N994"/>
  <c r="I994"/>
  <c r="H994"/>
  <c r="D994"/>
  <c r="O993"/>
  <c r="N993"/>
  <c r="I993"/>
  <c r="H993"/>
  <c r="C993" s="1"/>
  <c r="D993" s="1"/>
  <c r="O992"/>
  <c r="O991" s="1"/>
  <c r="O990" s="1"/>
  <c r="J992"/>
  <c r="N992" s="1"/>
  <c r="I992"/>
  <c r="H992"/>
  <c r="D992"/>
  <c r="K991"/>
  <c r="J991"/>
  <c r="J990" s="1"/>
  <c r="H991"/>
  <c r="H990" s="1"/>
  <c r="G991"/>
  <c r="F991"/>
  <c r="E991"/>
  <c r="C991"/>
  <c r="C990" s="1"/>
  <c r="B991"/>
  <c r="O988"/>
  <c r="N988"/>
  <c r="M988"/>
  <c r="L988"/>
  <c r="H988"/>
  <c r="D988"/>
  <c r="O987"/>
  <c r="N987"/>
  <c r="M987"/>
  <c r="L987"/>
  <c r="H987"/>
  <c r="H986" s="1"/>
  <c r="D987"/>
  <c r="D986" s="1"/>
  <c r="O986"/>
  <c r="N986"/>
  <c r="M986"/>
  <c r="L986"/>
  <c r="K986"/>
  <c r="J986"/>
  <c r="I986"/>
  <c r="G986"/>
  <c r="F986"/>
  <c r="E986"/>
  <c r="C986"/>
  <c r="B986"/>
  <c r="O985"/>
  <c r="N985"/>
  <c r="L985"/>
  <c r="I985"/>
  <c r="M985" s="1"/>
  <c r="H985"/>
  <c r="D985"/>
  <c r="O984"/>
  <c r="O982" s="1"/>
  <c r="O981" s="1"/>
  <c r="N984"/>
  <c r="M984"/>
  <c r="P984" s="1"/>
  <c r="L984"/>
  <c r="H984"/>
  <c r="C984" s="1"/>
  <c r="O983"/>
  <c r="N983"/>
  <c r="I983"/>
  <c r="I982" s="1"/>
  <c r="I981" s="1"/>
  <c r="H983"/>
  <c r="H982" s="1"/>
  <c r="H981" s="1"/>
  <c r="D983"/>
  <c r="N982"/>
  <c r="N981" s="1"/>
  <c r="K982"/>
  <c r="J982"/>
  <c r="J981" s="1"/>
  <c r="G982"/>
  <c r="F982"/>
  <c r="F981" s="1"/>
  <c r="E982"/>
  <c r="E981" s="1"/>
  <c r="B982"/>
  <c r="B981" s="1"/>
  <c r="K981"/>
  <c r="G981"/>
  <c r="O979"/>
  <c r="N979"/>
  <c r="M979"/>
  <c r="P979" s="1"/>
  <c r="L979"/>
  <c r="H979"/>
  <c r="D979"/>
  <c r="O978"/>
  <c r="O977" s="1"/>
  <c r="M978"/>
  <c r="L978"/>
  <c r="L977" s="1"/>
  <c r="F978"/>
  <c r="N978" s="1"/>
  <c r="N977" s="1"/>
  <c r="D978"/>
  <c r="D977" s="1"/>
  <c r="K977"/>
  <c r="J977"/>
  <c r="I977"/>
  <c r="G977"/>
  <c r="F977"/>
  <c r="E977"/>
  <c r="C977"/>
  <c r="B977"/>
  <c r="O976"/>
  <c r="N976"/>
  <c r="M976"/>
  <c r="L976"/>
  <c r="H976"/>
  <c r="D976"/>
  <c r="O975"/>
  <c r="O973" s="1"/>
  <c r="O972" s="1"/>
  <c r="N975"/>
  <c r="M975"/>
  <c r="M973" s="1"/>
  <c r="L975"/>
  <c r="H975"/>
  <c r="C975" s="1"/>
  <c r="O974"/>
  <c r="N974"/>
  <c r="M974"/>
  <c r="L974"/>
  <c r="H974"/>
  <c r="D974"/>
  <c r="N973"/>
  <c r="L973"/>
  <c r="K973"/>
  <c r="K972" s="1"/>
  <c r="J973"/>
  <c r="I973"/>
  <c r="I972" s="1"/>
  <c r="G973"/>
  <c r="F973"/>
  <c r="E973"/>
  <c r="B973"/>
  <c r="L972"/>
  <c r="J972"/>
  <c r="G972"/>
  <c r="F972"/>
  <c r="E972"/>
  <c r="O970"/>
  <c r="O968" s="1"/>
  <c r="N970"/>
  <c r="M970"/>
  <c r="L970"/>
  <c r="H970"/>
  <c r="C970" s="1"/>
  <c r="O969"/>
  <c r="N969"/>
  <c r="M969"/>
  <c r="L969"/>
  <c r="H969"/>
  <c r="D969"/>
  <c r="N968"/>
  <c r="L968"/>
  <c r="K968"/>
  <c r="J968"/>
  <c r="I968"/>
  <c r="G968"/>
  <c r="F968"/>
  <c r="E968"/>
  <c r="B968"/>
  <c r="O967"/>
  <c r="N967"/>
  <c r="M967"/>
  <c r="L967"/>
  <c r="H967"/>
  <c r="D967"/>
  <c r="O966"/>
  <c r="N966"/>
  <c r="M966"/>
  <c r="L966"/>
  <c r="H966"/>
  <c r="C966" s="1"/>
  <c r="O965"/>
  <c r="N965"/>
  <c r="M965"/>
  <c r="L965"/>
  <c r="H965"/>
  <c r="H964" s="1"/>
  <c r="D965"/>
  <c r="O964"/>
  <c r="O963" s="1"/>
  <c r="N964"/>
  <c r="M964"/>
  <c r="L964"/>
  <c r="K964"/>
  <c r="K963" s="1"/>
  <c r="J964"/>
  <c r="I964"/>
  <c r="I963" s="1"/>
  <c r="G964"/>
  <c r="G963" s="1"/>
  <c r="F964"/>
  <c r="F963" s="1"/>
  <c r="E964"/>
  <c r="B964"/>
  <c r="B963" s="1"/>
  <c r="E963"/>
  <c r="O961"/>
  <c r="O959" s="1"/>
  <c r="N961"/>
  <c r="M961"/>
  <c r="L961"/>
  <c r="H961"/>
  <c r="C961" s="1"/>
  <c r="O960"/>
  <c r="N960"/>
  <c r="M960"/>
  <c r="L960"/>
  <c r="H960"/>
  <c r="D960"/>
  <c r="M959"/>
  <c r="K959"/>
  <c r="J959"/>
  <c r="J954" s="1"/>
  <c r="I959"/>
  <c r="G959"/>
  <c r="F959"/>
  <c r="E959"/>
  <c r="B959"/>
  <c r="O958"/>
  <c r="N958"/>
  <c r="M958"/>
  <c r="L958"/>
  <c r="H958"/>
  <c r="D958"/>
  <c r="O957"/>
  <c r="N957"/>
  <c r="N955" s="1"/>
  <c r="M957"/>
  <c r="L957"/>
  <c r="L955" s="1"/>
  <c r="H957"/>
  <c r="C957" s="1"/>
  <c r="O956"/>
  <c r="N956"/>
  <c r="M956"/>
  <c r="P956" s="1"/>
  <c r="L956"/>
  <c r="H956"/>
  <c r="H955" s="1"/>
  <c r="D956"/>
  <c r="O955"/>
  <c r="M955"/>
  <c r="M954" s="1"/>
  <c r="K955"/>
  <c r="K954" s="1"/>
  <c r="J955"/>
  <c r="I955"/>
  <c r="I954" s="1"/>
  <c r="G955"/>
  <c r="F955"/>
  <c r="E955"/>
  <c r="B955"/>
  <c r="B954" s="1"/>
  <c r="F954"/>
  <c r="K952"/>
  <c r="J952"/>
  <c r="J950" s="1"/>
  <c r="I952"/>
  <c r="G952"/>
  <c r="G950" s="1"/>
  <c r="F952"/>
  <c r="E952"/>
  <c r="E950" s="1"/>
  <c r="B952"/>
  <c r="K951"/>
  <c r="K950" s="1"/>
  <c r="J951"/>
  <c r="I951"/>
  <c r="G951"/>
  <c r="F951"/>
  <c r="E951"/>
  <c r="B951"/>
  <c r="B950" s="1"/>
  <c r="K949"/>
  <c r="K946" s="1"/>
  <c r="K945" s="1"/>
  <c r="J949"/>
  <c r="I949"/>
  <c r="L949" s="1"/>
  <c r="G949"/>
  <c r="F949"/>
  <c r="N949" s="1"/>
  <c r="E949"/>
  <c r="D949"/>
  <c r="C949"/>
  <c r="B949"/>
  <c r="K948"/>
  <c r="J948"/>
  <c r="G948"/>
  <c r="O948" s="1"/>
  <c r="F948"/>
  <c r="E948"/>
  <c r="H948" s="1"/>
  <c r="B948"/>
  <c r="K947"/>
  <c r="J947"/>
  <c r="G947"/>
  <c r="F947"/>
  <c r="E947"/>
  <c r="C947"/>
  <c r="B947"/>
  <c r="F946"/>
  <c r="O943"/>
  <c r="N943"/>
  <c r="M943"/>
  <c r="L943"/>
  <c r="H943"/>
  <c r="O942"/>
  <c r="N942"/>
  <c r="N941" s="1"/>
  <c r="M942"/>
  <c r="L942"/>
  <c r="L941" s="1"/>
  <c r="H942"/>
  <c r="C942"/>
  <c r="K941"/>
  <c r="J941"/>
  <c r="I941"/>
  <c r="G941"/>
  <c r="F941"/>
  <c r="E941"/>
  <c r="B941"/>
  <c r="B936" s="1"/>
  <c r="O940"/>
  <c r="N940"/>
  <c r="M940"/>
  <c r="L940"/>
  <c r="H940"/>
  <c r="D940"/>
  <c r="O939"/>
  <c r="N939"/>
  <c r="M939"/>
  <c r="L939"/>
  <c r="H939"/>
  <c r="D939"/>
  <c r="O938"/>
  <c r="N938"/>
  <c r="M938"/>
  <c r="L938"/>
  <c r="H938"/>
  <c r="H937" s="1"/>
  <c r="D938"/>
  <c r="D937" s="1"/>
  <c r="O937"/>
  <c r="N937"/>
  <c r="M937"/>
  <c r="L937"/>
  <c r="K937"/>
  <c r="J937"/>
  <c r="J936" s="1"/>
  <c r="I937"/>
  <c r="G937"/>
  <c r="G936" s="1"/>
  <c r="F937"/>
  <c r="E937"/>
  <c r="E936" s="1"/>
  <c r="C937"/>
  <c r="B937"/>
  <c r="K936"/>
  <c r="I936"/>
  <c r="F936"/>
  <c r="O934"/>
  <c r="N934"/>
  <c r="M934"/>
  <c r="M932" s="1"/>
  <c r="L934"/>
  <c r="H934"/>
  <c r="C934" s="1"/>
  <c r="D934" s="1"/>
  <c r="O933"/>
  <c r="N933"/>
  <c r="N932" s="1"/>
  <c r="M933"/>
  <c r="L933"/>
  <c r="L932" s="1"/>
  <c r="H933"/>
  <c r="C933"/>
  <c r="D933" s="1"/>
  <c r="G932"/>
  <c r="F932"/>
  <c r="E932"/>
  <c r="B932"/>
  <c r="O931"/>
  <c r="N931"/>
  <c r="I931"/>
  <c r="M931" s="1"/>
  <c r="P931" s="1"/>
  <c r="H931"/>
  <c r="D931"/>
  <c r="O930"/>
  <c r="N930"/>
  <c r="I930"/>
  <c r="L930" s="1"/>
  <c r="H930"/>
  <c r="H928" s="1"/>
  <c r="D930"/>
  <c r="O929"/>
  <c r="O928" s="1"/>
  <c r="J929"/>
  <c r="N929" s="1"/>
  <c r="I929"/>
  <c r="H929"/>
  <c r="D929"/>
  <c r="D928" s="1"/>
  <c r="K928"/>
  <c r="K927" s="1"/>
  <c r="J928"/>
  <c r="J927" s="1"/>
  <c r="G928"/>
  <c r="F928"/>
  <c r="E928"/>
  <c r="C928"/>
  <c r="B928"/>
  <c r="B927" s="1"/>
  <c r="F927"/>
  <c r="O925"/>
  <c r="N925"/>
  <c r="M925"/>
  <c r="L925"/>
  <c r="H925"/>
  <c r="C925"/>
  <c r="D925" s="1"/>
  <c r="N924"/>
  <c r="M924"/>
  <c r="L924"/>
  <c r="G924"/>
  <c r="N923"/>
  <c r="M923"/>
  <c r="L923"/>
  <c r="K923"/>
  <c r="J923"/>
  <c r="I923"/>
  <c r="F923"/>
  <c r="E923"/>
  <c r="B923"/>
  <c r="B918" s="1"/>
  <c r="O922"/>
  <c r="N922"/>
  <c r="M922"/>
  <c r="L922"/>
  <c r="H922"/>
  <c r="D922"/>
  <c r="O921"/>
  <c r="N921"/>
  <c r="M921"/>
  <c r="L921"/>
  <c r="H921"/>
  <c r="C921" s="1"/>
  <c r="O920"/>
  <c r="O919" s="1"/>
  <c r="J920"/>
  <c r="N920" s="1"/>
  <c r="I920"/>
  <c r="I919" s="1"/>
  <c r="H920"/>
  <c r="H919" s="1"/>
  <c r="D920"/>
  <c r="K919"/>
  <c r="K918" s="1"/>
  <c r="G919"/>
  <c r="F919"/>
  <c r="E919"/>
  <c r="E918" s="1"/>
  <c r="B919"/>
  <c r="F918"/>
  <c r="O916"/>
  <c r="O914" s="1"/>
  <c r="N916"/>
  <c r="M916"/>
  <c r="L916"/>
  <c r="H916"/>
  <c r="C916"/>
  <c r="O915"/>
  <c r="N915"/>
  <c r="M915"/>
  <c r="L915"/>
  <c r="H915"/>
  <c r="D915"/>
  <c r="M914"/>
  <c r="M909" s="1"/>
  <c r="K914"/>
  <c r="J914"/>
  <c r="I914"/>
  <c r="G914"/>
  <c r="F914"/>
  <c r="E914"/>
  <c r="B914"/>
  <c r="B909" s="1"/>
  <c r="O913"/>
  <c r="N913"/>
  <c r="M913"/>
  <c r="L913"/>
  <c r="H913"/>
  <c r="D913"/>
  <c r="O912"/>
  <c r="N912"/>
  <c r="M912"/>
  <c r="L912"/>
  <c r="H912"/>
  <c r="D912"/>
  <c r="O911"/>
  <c r="N911"/>
  <c r="M911"/>
  <c r="L911"/>
  <c r="H911"/>
  <c r="H910" s="1"/>
  <c r="D911"/>
  <c r="D910" s="1"/>
  <c r="O910"/>
  <c r="N910"/>
  <c r="M910"/>
  <c r="L910"/>
  <c r="K910"/>
  <c r="J910"/>
  <c r="J909" s="1"/>
  <c r="I910"/>
  <c r="G910"/>
  <c r="G909" s="1"/>
  <c r="F910"/>
  <c r="E910"/>
  <c r="E909" s="1"/>
  <c r="C910"/>
  <c r="B910"/>
  <c r="O909"/>
  <c r="K909"/>
  <c r="I909"/>
  <c r="F909"/>
  <c r="O907"/>
  <c r="N907"/>
  <c r="M907"/>
  <c r="M905" s="1"/>
  <c r="L907"/>
  <c r="H907"/>
  <c r="O906"/>
  <c r="N906"/>
  <c r="M906"/>
  <c r="L906"/>
  <c r="L905" s="1"/>
  <c r="H906"/>
  <c r="C906"/>
  <c r="K905"/>
  <c r="J905"/>
  <c r="I905"/>
  <c r="G905"/>
  <c r="F905"/>
  <c r="E905"/>
  <c r="B905"/>
  <c r="B900" s="1"/>
  <c r="O904"/>
  <c r="N904"/>
  <c r="I904"/>
  <c r="L904" s="1"/>
  <c r="H904"/>
  <c r="D904"/>
  <c r="O903"/>
  <c r="N903"/>
  <c r="I903"/>
  <c r="L903" s="1"/>
  <c r="H903"/>
  <c r="C903"/>
  <c r="D903" s="1"/>
  <c r="N902"/>
  <c r="M902"/>
  <c r="K902"/>
  <c r="O902" s="1"/>
  <c r="H902"/>
  <c r="D902"/>
  <c r="K901"/>
  <c r="K900" s="1"/>
  <c r="J901"/>
  <c r="I901"/>
  <c r="I900" s="1"/>
  <c r="G901"/>
  <c r="F901"/>
  <c r="F900" s="1"/>
  <c r="E901"/>
  <c r="C901"/>
  <c r="B901"/>
  <c r="J900"/>
  <c r="O898"/>
  <c r="N898"/>
  <c r="M898"/>
  <c r="L898"/>
  <c r="L896" s="1"/>
  <c r="H898"/>
  <c r="D898"/>
  <c r="C898"/>
  <c r="M897"/>
  <c r="L897"/>
  <c r="G897"/>
  <c r="O897" s="1"/>
  <c r="O896" s="1"/>
  <c r="F897"/>
  <c r="N897" s="1"/>
  <c r="M896"/>
  <c r="K896"/>
  <c r="J896"/>
  <c r="I896"/>
  <c r="F896"/>
  <c r="E896"/>
  <c r="B896"/>
  <c r="O895"/>
  <c r="N895"/>
  <c r="N892" s="1"/>
  <c r="I895"/>
  <c r="M895" s="1"/>
  <c r="H895"/>
  <c r="D895"/>
  <c r="O894"/>
  <c r="N894"/>
  <c r="I894"/>
  <c r="H894"/>
  <c r="D894"/>
  <c r="D892" s="1"/>
  <c r="C894"/>
  <c r="O893"/>
  <c r="N893"/>
  <c r="M893"/>
  <c r="L893"/>
  <c r="H893"/>
  <c r="H892" s="1"/>
  <c r="D893"/>
  <c r="O892"/>
  <c r="K892"/>
  <c r="J892"/>
  <c r="G892"/>
  <c r="F892"/>
  <c r="E892"/>
  <c r="E891" s="1"/>
  <c r="C892"/>
  <c r="B892"/>
  <c r="B891" s="1"/>
  <c r="K891"/>
  <c r="J891"/>
  <c r="F891"/>
  <c r="O889"/>
  <c r="N889"/>
  <c r="M889"/>
  <c r="L889"/>
  <c r="H889"/>
  <c r="D889"/>
  <c r="M888"/>
  <c r="M887" s="1"/>
  <c r="L888"/>
  <c r="G888"/>
  <c r="O888" s="1"/>
  <c r="O887" s="1"/>
  <c r="F888"/>
  <c r="L887"/>
  <c r="K887"/>
  <c r="J887"/>
  <c r="I887"/>
  <c r="G887"/>
  <c r="F887"/>
  <c r="E887"/>
  <c r="B887"/>
  <c r="O886"/>
  <c r="N886"/>
  <c r="M886"/>
  <c r="L886"/>
  <c r="H886"/>
  <c r="D886"/>
  <c r="O885"/>
  <c r="N885"/>
  <c r="M885"/>
  <c r="P885" s="1"/>
  <c r="L885"/>
  <c r="H885"/>
  <c r="D885"/>
  <c r="O884"/>
  <c r="N884"/>
  <c r="M884"/>
  <c r="M883" s="1"/>
  <c r="M882" s="1"/>
  <c r="L884"/>
  <c r="L883" s="1"/>
  <c r="H884"/>
  <c r="H883" s="1"/>
  <c r="D884"/>
  <c r="O883"/>
  <c r="K883"/>
  <c r="J883"/>
  <c r="I883"/>
  <c r="G883"/>
  <c r="G882" s="1"/>
  <c r="F883"/>
  <c r="E883"/>
  <c r="E882" s="1"/>
  <c r="D883"/>
  <c r="C883"/>
  <c r="B883"/>
  <c r="K882"/>
  <c r="I882"/>
  <c r="F882"/>
  <c r="B882"/>
  <c r="O880"/>
  <c r="N880"/>
  <c r="M880"/>
  <c r="L880"/>
  <c r="H880"/>
  <c r="D880"/>
  <c r="O879"/>
  <c r="N879"/>
  <c r="M879"/>
  <c r="L879"/>
  <c r="H879"/>
  <c r="H878" s="1"/>
  <c r="D879"/>
  <c r="O878"/>
  <c r="N878"/>
  <c r="M878"/>
  <c r="L878"/>
  <c r="K878"/>
  <c r="K873" s="1"/>
  <c r="J878"/>
  <c r="I878"/>
  <c r="G878"/>
  <c r="F878"/>
  <c r="E878"/>
  <c r="D878"/>
  <c r="C878"/>
  <c r="B878"/>
  <c r="O877"/>
  <c r="N877"/>
  <c r="I877"/>
  <c r="M877" s="1"/>
  <c r="H877"/>
  <c r="D877"/>
  <c r="O876"/>
  <c r="N876"/>
  <c r="M876"/>
  <c r="L876"/>
  <c r="H876"/>
  <c r="D876"/>
  <c r="D874" s="1"/>
  <c r="D873" s="1"/>
  <c r="O875"/>
  <c r="N875"/>
  <c r="I875"/>
  <c r="L875" s="1"/>
  <c r="H875"/>
  <c r="H874" s="1"/>
  <c r="D875"/>
  <c r="N874"/>
  <c r="K874"/>
  <c r="J874"/>
  <c r="G874"/>
  <c r="G873" s="1"/>
  <c r="F874"/>
  <c r="E874"/>
  <c r="E873" s="1"/>
  <c r="C874"/>
  <c r="B874"/>
  <c r="N873"/>
  <c r="J873"/>
  <c r="F873"/>
  <c r="C873"/>
  <c r="B873"/>
  <c r="O871"/>
  <c r="N871"/>
  <c r="M871"/>
  <c r="L871"/>
  <c r="H871"/>
  <c r="C871" s="1"/>
  <c r="O870"/>
  <c r="N870"/>
  <c r="N869" s="1"/>
  <c r="M870"/>
  <c r="L870"/>
  <c r="H870"/>
  <c r="C870"/>
  <c r="D870" s="1"/>
  <c r="L869"/>
  <c r="K869"/>
  <c r="J869"/>
  <c r="I869"/>
  <c r="H869"/>
  <c r="G869"/>
  <c r="F869"/>
  <c r="E869"/>
  <c r="B869"/>
  <c r="B864" s="1"/>
  <c r="O868"/>
  <c r="N868"/>
  <c r="M868"/>
  <c r="L868"/>
  <c r="H868"/>
  <c r="D868"/>
  <c r="D859" s="1"/>
  <c r="O867"/>
  <c r="N867"/>
  <c r="N865" s="1"/>
  <c r="N864" s="1"/>
  <c r="I867"/>
  <c r="M867" s="1"/>
  <c r="H867"/>
  <c r="D867"/>
  <c r="O866"/>
  <c r="O865" s="1"/>
  <c r="N866"/>
  <c r="I866"/>
  <c r="H866"/>
  <c r="D866"/>
  <c r="D865" s="1"/>
  <c r="K865"/>
  <c r="K864" s="1"/>
  <c r="J865"/>
  <c r="H865"/>
  <c r="H864" s="1"/>
  <c r="G865"/>
  <c r="G864" s="1"/>
  <c r="F865"/>
  <c r="F864" s="1"/>
  <c r="E865"/>
  <c r="E864" s="1"/>
  <c r="C865"/>
  <c r="B865"/>
  <c r="J864"/>
  <c r="K862"/>
  <c r="J862"/>
  <c r="I862"/>
  <c r="G862"/>
  <c r="F862"/>
  <c r="E862"/>
  <c r="B862"/>
  <c r="K861"/>
  <c r="K860" s="1"/>
  <c r="K855" s="1"/>
  <c r="J861"/>
  <c r="I861"/>
  <c r="L861" s="1"/>
  <c r="F861"/>
  <c r="N861" s="1"/>
  <c r="E861"/>
  <c r="E860" s="1"/>
  <c r="B861"/>
  <c r="B860" s="1"/>
  <c r="J860"/>
  <c r="K859"/>
  <c r="J859"/>
  <c r="I859"/>
  <c r="L859" s="1"/>
  <c r="G859"/>
  <c r="F859"/>
  <c r="N859" s="1"/>
  <c r="E859"/>
  <c r="C859"/>
  <c r="B859"/>
  <c r="K858"/>
  <c r="J858"/>
  <c r="G858"/>
  <c r="O858" s="1"/>
  <c r="F858"/>
  <c r="E858"/>
  <c r="B858"/>
  <c r="B856" s="1"/>
  <c r="B855" s="1"/>
  <c r="K857"/>
  <c r="J857"/>
  <c r="J856" s="1"/>
  <c r="G857"/>
  <c r="O857" s="1"/>
  <c r="F857"/>
  <c r="F856" s="1"/>
  <c r="E857"/>
  <c r="E856" s="1"/>
  <c r="C857"/>
  <c r="B857"/>
  <c r="K856"/>
  <c r="O853"/>
  <c r="N853"/>
  <c r="M853"/>
  <c r="L853"/>
  <c r="H853"/>
  <c r="C853" s="1"/>
  <c r="D853" s="1"/>
  <c r="O852"/>
  <c r="N852"/>
  <c r="M852"/>
  <c r="L852"/>
  <c r="H852"/>
  <c r="O851"/>
  <c r="N851"/>
  <c r="M851"/>
  <c r="L851"/>
  <c r="K851"/>
  <c r="J851"/>
  <c r="I851"/>
  <c r="G851"/>
  <c r="F851"/>
  <c r="E851"/>
  <c r="B851"/>
  <c r="O850"/>
  <c r="N850"/>
  <c r="M850"/>
  <c r="L850"/>
  <c r="H850"/>
  <c r="D850"/>
  <c r="O849"/>
  <c r="N849"/>
  <c r="N847" s="1"/>
  <c r="N846" s="1"/>
  <c r="M849"/>
  <c r="L849"/>
  <c r="L847" s="1"/>
  <c r="L846" s="1"/>
  <c r="H849"/>
  <c r="C849" s="1"/>
  <c r="O848"/>
  <c r="N848"/>
  <c r="M848"/>
  <c r="P848" s="1"/>
  <c r="L848"/>
  <c r="H848"/>
  <c r="H847" s="1"/>
  <c r="D848"/>
  <c r="O847"/>
  <c r="O846" s="1"/>
  <c r="K847"/>
  <c r="K846" s="1"/>
  <c r="J847"/>
  <c r="I847"/>
  <c r="I846" s="1"/>
  <c r="G847"/>
  <c r="F847"/>
  <c r="F846" s="1"/>
  <c r="E847"/>
  <c r="B847"/>
  <c r="B846" s="1"/>
  <c r="J846"/>
  <c r="O844"/>
  <c r="N844"/>
  <c r="M844"/>
  <c r="L844"/>
  <c r="H844"/>
  <c r="D844"/>
  <c r="O843"/>
  <c r="N843"/>
  <c r="N842" s="1"/>
  <c r="M843"/>
  <c r="L843"/>
  <c r="L842" s="1"/>
  <c r="H843"/>
  <c r="C843" s="1"/>
  <c r="O842"/>
  <c r="M842"/>
  <c r="K842"/>
  <c r="J842"/>
  <c r="I842"/>
  <c r="G842"/>
  <c r="F842"/>
  <c r="E842"/>
  <c r="B842"/>
  <c r="O841"/>
  <c r="N841"/>
  <c r="M841"/>
  <c r="L841"/>
  <c r="H841"/>
  <c r="D841"/>
  <c r="O840"/>
  <c r="N840"/>
  <c r="M840"/>
  <c r="L840"/>
  <c r="H840"/>
  <c r="C840"/>
  <c r="O839"/>
  <c r="N839"/>
  <c r="P839" s="1"/>
  <c r="M839"/>
  <c r="L839"/>
  <c r="L838" s="1"/>
  <c r="L837" s="1"/>
  <c r="H839"/>
  <c r="D839"/>
  <c r="M838"/>
  <c r="K838"/>
  <c r="K837" s="1"/>
  <c r="J838"/>
  <c r="J837" s="1"/>
  <c r="I838"/>
  <c r="H838"/>
  <c r="G838"/>
  <c r="G837" s="1"/>
  <c r="F838"/>
  <c r="E838"/>
  <c r="B838"/>
  <c r="B837" s="1"/>
  <c r="I837"/>
  <c r="E837"/>
  <c r="O835"/>
  <c r="N835"/>
  <c r="M835"/>
  <c r="L835"/>
  <c r="H835"/>
  <c r="C835"/>
  <c r="D835" s="1"/>
  <c r="O834"/>
  <c r="N834"/>
  <c r="N833" s="1"/>
  <c r="M834"/>
  <c r="L834"/>
  <c r="L833" s="1"/>
  <c r="H834"/>
  <c r="C834"/>
  <c r="D834" s="1"/>
  <c r="D833" s="1"/>
  <c r="K833"/>
  <c r="J833"/>
  <c r="I833"/>
  <c r="H833"/>
  <c r="G833"/>
  <c r="F833"/>
  <c r="E833"/>
  <c r="B833"/>
  <c r="O832"/>
  <c r="N832"/>
  <c r="M832"/>
  <c r="L832"/>
  <c r="H832"/>
  <c r="D832"/>
  <c r="O831"/>
  <c r="N831"/>
  <c r="P831" s="1"/>
  <c r="M831"/>
  <c r="L831"/>
  <c r="H831"/>
  <c r="D831"/>
  <c r="C831"/>
  <c r="O830"/>
  <c r="N830"/>
  <c r="M830"/>
  <c r="M829" s="1"/>
  <c r="L830"/>
  <c r="H830"/>
  <c r="H829" s="1"/>
  <c r="H828" s="1"/>
  <c r="D830"/>
  <c r="O829"/>
  <c r="K829"/>
  <c r="K828" s="1"/>
  <c r="J829"/>
  <c r="J828" s="1"/>
  <c r="I829"/>
  <c r="I828" s="1"/>
  <c r="G829"/>
  <c r="G828" s="1"/>
  <c r="F829"/>
  <c r="E829"/>
  <c r="E828" s="1"/>
  <c r="C829"/>
  <c r="B829"/>
  <c r="B828" s="1"/>
  <c r="F828"/>
  <c r="O826"/>
  <c r="N826"/>
  <c r="M826"/>
  <c r="L826"/>
  <c r="H826"/>
  <c r="D826"/>
  <c r="O825"/>
  <c r="O824" s="1"/>
  <c r="N825"/>
  <c r="N824" s="1"/>
  <c r="M825"/>
  <c r="L825"/>
  <c r="L824" s="1"/>
  <c r="H825"/>
  <c r="H824" s="1"/>
  <c r="D825"/>
  <c r="D824" s="1"/>
  <c r="K824"/>
  <c r="J824"/>
  <c r="I824"/>
  <c r="G824"/>
  <c r="F824"/>
  <c r="E824"/>
  <c r="C824"/>
  <c r="B824"/>
  <c r="O823"/>
  <c r="N823"/>
  <c r="M823"/>
  <c r="P823" s="1"/>
  <c r="L823"/>
  <c r="H823"/>
  <c r="D823"/>
  <c r="O822"/>
  <c r="N822"/>
  <c r="L822"/>
  <c r="I822"/>
  <c r="M822" s="1"/>
  <c r="H822"/>
  <c r="C822" s="1"/>
  <c r="O821"/>
  <c r="N821"/>
  <c r="I821"/>
  <c r="M821" s="1"/>
  <c r="H821"/>
  <c r="H820" s="1"/>
  <c r="D821"/>
  <c r="N820"/>
  <c r="N819" s="1"/>
  <c r="K820"/>
  <c r="J820"/>
  <c r="J819" s="1"/>
  <c r="G820"/>
  <c r="F820"/>
  <c r="E820"/>
  <c r="B820"/>
  <c r="F819"/>
  <c r="B819"/>
  <c r="O817"/>
  <c r="O815" s="1"/>
  <c r="O810" s="1"/>
  <c r="N817"/>
  <c r="M817"/>
  <c r="M815" s="1"/>
  <c r="M810" s="1"/>
  <c r="L817"/>
  <c r="H817"/>
  <c r="C817" s="1"/>
  <c r="D817" s="1"/>
  <c r="O816"/>
  <c r="M816"/>
  <c r="L816"/>
  <c r="L815" s="1"/>
  <c r="F816"/>
  <c r="N816" s="1"/>
  <c r="K815"/>
  <c r="K810" s="1"/>
  <c r="J815"/>
  <c r="I815"/>
  <c r="I810" s="1"/>
  <c r="G815"/>
  <c r="F815"/>
  <c r="E815"/>
  <c r="B815"/>
  <c r="B810" s="1"/>
  <c r="O814"/>
  <c r="N814"/>
  <c r="P814" s="1"/>
  <c r="M814"/>
  <c r="L814"/>
  <c r="H814"/>
  <c r="D814"/>
  <c r="O813"/>
  <c r="N813"/>
  <c r="M813"/>
  <c r="L813"/>
  <c r="H813"/>
  <c r="C813"/>
  <c r="D813" s="1"/>
  <c r="O812"/>
  <c r="N812"/>
  <c r="M812"/>
  <c r="L812"/>
  <c r="H812"/>
  <c r="D812"/>
  <c r="D758" s="1"/>
  <c r="O811"/>
  <c r="N811"/>
  <c r="M811"/>
  <c r="L811"/>
  <c r="K811"/>
  <c r="J811"/>
  <c r="J810" s="1"/>
  <c r="I811"/>
  <c r="H811"/>
  <c r="G811"/>
  <c r="F811"/>
  <c r="F810" s="1"/>
  <c r="E811"/>
  <c r="C811"/>
  <c r="B811"/>
  <c r="L810"/>
  <c r="G810"/>
  <c r="E810"/>
  <c r="O808"/>
  <c r="N808"/>
  <c r="M808"/>
  <c r="P808" s="1"/>
  <c r="L808"/>
  <c r="H808"/>
  <c r="C808" s="1"/>
  <c r="O807"/>
  <c r="M807"/>
  <c r="L807"/>
  <c r="F807"/>
  <c r="N807" s="1"/>
  <c r="N806" s="1"/>
  <c r="D807"/>
  <c r="O806"/>
  <c r="L806"/>
  <c r="K806"/>
  <c r="J806"/>
  <c r="I806"/>
  <c r="G806"/>
  <c r="F806"/>
  <c r="E806"/>
  <c r="B806"/>
  <c r="O805"/>
  <c r="N805"/>
  <c r="M805"/>
  <c r="L805"/>
  <c r="H805"/>
  <c r="D805"/>
  <c r="O804"/>
  <c r="N804"/>
  <c r="N802" s="1"/>
  <c r="M804"/>
  <c r="L804"/>
  <c r="L802" s="1"/>
  <c r="H804"/>
  <c r="C804" s="1"/>
  <c r="O803"/>
  <c r="N803"/>
  <c r="M803"/>
  <c r="P803" s="1"/>
  <c r="L803"/>
  <c r="H803"/>
  <c r="H802" s="1"/>
  <c r="D803"/>
  <c r="O802"/>
  <c r="O801" s="1"/>
  <c r="M802"/>
  <c r="K802"/>
  <c r="K801" s="1"/>
  <c r="J802"/>
  <c r="I802"/>
  <c r="G802"/>
  <c r="F802"/>
  <c r="E802"/>
  <c r="B802"/>
  <c r="B801" s="1"/>
  <c r="I801"/>
  <c r="G801"/>
  <c r="E801"/>
  <c r="O799"/>
  <c r="O797" s="1"/>
  <c r="N799"/>
  <c r="M799"/>
  <c r="L799"/>
  <c r="H799"/>
  <c r="C799"/>
  <c r="D799" s="1"/>
  <c r="O798"/>
  <c r="N798"/>
  <c r="M798"/>
  <c r="L798"/>
  <c r="H798"/>
  <c r="D798"/>
  <c r="K797"/>
  <c r="J797"/>
  <c r="I797"/>
  <c r="G797"/>
  <c r="F797"/>
  <c r="E797"/>
  <c r="B797"/>
  <c r="O796"/>
  <c r="N796"/>
  <c r="M796"/>
  <c r="L796"/>
  <c r="H796"/>
  <c r="D796"/>
  <c r="O795"/>
  <c r="N795"/>
  <c r="I795"/>
  <c r="L795" s="1"/>
  <c r="H795"/>
  <c r="D795"/>
  <c r="D793" s="1"/>
  <c r="C795"/>
  <c r="O794"/>
  <c r="N794"/>
  <c r="L794"/>
  <c r="I794"/>
  <c r="M794" s="1"/>
  <c r="H794"/>
  <c r="H793" s="1"/>
  <c r="D794"/>
  <c r="O793"/>
  <c r="N793"/>
  <c r="K793"/>
  <c r="K792" s="1"/>
  <c r="J793"/>
  <c r="I793"/>
  <c r="I792" s="1"/>
  <c r="G793"/>
  <c r="G792" s="1"/>
  <c r="F793"/>
  <c r="E793"/>
  <c r="E792" s="1"/>
  <c r="C793"/>
  <c r="B793"/>
  <c r="O792"/>
  <c r="J792"/>
  <c r="F792"/>
  <c r="B792"/>
  <c r="O790"/>
  <c r="N790"/>
  <c r="M790"/>
  <c r="L790"/>
  <c r="H790"/>
  <c r="C790" s="1"/>
  <c r="D790" s="1"/>
  <c r="O789"/>
  <c r="O788" s="1"/>
  <c r="N789"/>
  <c r="M789"/>
  <c r="M788" s="1"/>
  <c r="L789"/>
  <c r="H789"/>
  <c r="N788"/>
  <c r="L788"/>
  <c r="K788"/>
  <c r="J788"/>
  <c r="I788"/>
  <c r="G788"/>
  <c r="F788"/>
  <c r="E788"/>
  <c r="B788"/>
  <c r="O787"/>
  <c r="N787"/>
  <c r="M787"/>
  <c r="L787"/>
  <c r="H787"/>
  <c r="D787"/>
  <c r="O786"/>
  <c r="N786"/>
  <c r="N784" s="1"/>
  <c r="N783" s="1"/>
  <c r="M786"/>
  <c r="L786"/>
  <c r="L784" s="1"/>
  <c r="H786"/>
  <c r="C786" s="1"/>
  <c r="O785"/>
  <c r="N785"/>
  <c r="M785"/>
  <c r="P785" s="1"/>
  <c r="L785"/>
  <c r="H785"/>
  <c r="H784" s="1"/>
  <c r="D785"/>
  <c r="O784"/>
  <c r="M784"/>
  <c r="K784"/>
  <c r="K783" s="1"/>
  <c r="J784"/>
  <c r="I784"/>
  <c r="I783" s="1"/>
  <c r="G784"/>
  <c r="F784"/>
  <c r="E784"/>
  <c r="B784"/>
  <c r="B783" s="1"/>
  <c r="L783"/>
  <c r="J783"/>
  <c r="F783"/>
  <c r="O781"/>
  <c r="N781"/>
  <c r="M781"/>
  <c r="L781"/>
  <c r="H781"/>
  <c r="D781"/>
  <c r="O780"/>
  <c r="O779" s="1"/>
  <c r="N780"/>
  <c r="N779" s="1"/>
  <c r="M780"/>
  <c r="M779" s="1"/>
  <c r="L780"/>
  <c r="L779" s="1"/>
  <c r="H780"/>
  <c r="C780"/>
  <c r="D780" s="1"/>
  <c r="D779" s="1"/>
  <c r="K779"/>
  <c r="J779"/>
  <c r="J774" s="1"/>
  <c r="I779"/>
  <c r="H779"/>
  <c r="G779"/>
  <c r="F779"/>
  <c r="E779"/>
  <c r="B779"/>
  <c r="B774" s="1"/>
  <c r="O778"/>
  <c r="N778"/>
  <c r="M778"/>
  <c r="L778"/>
  <c r="H778"/>
  <c r="D778"/>
  <c r="O777"/>
  <c r="N777"/>
  <c r="N775" s="1"/>
  <c r="M777"/>
  <c r="L777"/>
  <c r="L775" s="1"/>
  <c r="H777"/>
  <c r="D777"/>
  <c r="D775" s="1"/>
  <c r="C777"/>
  <c r="O776"/>
  <c r="N776"/>
  <c r="M776"/>
  <c r="L776"/>
  <c r="H776"/>
  <c r="H775" s="1"/>
  <c r="H774" s="1"/>
  <c r="D776"/>
  <c r="O775"/>
  <c r="K775"/>
  <c r="J775"/>
  <c r="I775"/>
  <c r="I774" s="1"/>
  <c r="G775"/>
  <c r="F775"/>
  <c r="E775"/>
  <c r="C775"/>
  <c r="B775"/>
  <c r="K774"/>
  <c r="G774"/>
  <c r="E774"/>
  <c r="O772"/>
  <c r="N772"/>
  <c r="M772"/>
  <c r="P772" s="1"/>
  <c r="L772"/>
  <c r="H772"/>
  <c r="D772"/>
  <c r="O771"/>
  <c r="N771"/>
  <c r="M771"/>
  <c r="P771" s="1"/>
  <c r="P770" s="1"/>
  <c r="L771"/>
  <c r="H771"/>
  <c r="H770" s="1"/>
  <c r="D771"/>
  <c r="O770"/>
  <c r="N770"/>
  <c r="M770"/>
  <c r="L770"/>
  <c r="K770"/>
  <c r="J770"/>
  <c r="I770"/>
  <c r="G770"/>
  <c r="F770"/>
  <c r="E770"/>
  <c r="D770"/>
  <c r="C770"/>
  <c r="B770"/>
  <c r="O769"/>
  <c r="N769"/>
  <c r="M769"/>
  <c r="L769"/>
  <c r="H769"/>
  <c r="D769"/>
  <c r="O768"/>
  <c r="N768"/>
  <c r="N766" s="1"/>
  <c r="N765" s="1"/>
  <c r="M768"/>
  <c r="L768"/>
  <c r="L766" s="1"/>
  <c r="H768"/>
  <c r="C768" s="1"/>
  <c r="O767"/>
  <c r="N767"/>
  <c r="M767"/>
  <c r="P767" s="1"/>
  <c r="L767"/>
  <c r="H767"/>
  <c r="H766" s="1"/>
  <c r="H765" s="1"/>
  <c r="D767"/>
  <c r="O766"/>
  <c r="O765" s="1"/>
  <c r="M766"/>
  <c r="M765" s="1"/>
  <c r="K766"/>
  <c r="K765" s="1"/>
  <c r="J766"/>
  <c r="I766"/>
  <c r="I765" s="1"/>
  <c r="G766"/>
  <c r="G765" s="1"/>
  <c r="F766"/>
  <c r="E766"/>
  <c r="E765" s="1"/>
  <c r="B766"/>
  <c r="B765" s="1"/>
  <c r="L765"/>
  <c r="J765"/>
  <c r="F765"/>
  <c r="K763"/>
  <c r="J763"/>
  <c r="J761" s="1"/>
  <c r="I763"/>
  <c r="G763"/>
  <c r="G761" s="1"/>
  <c r="F763"/>
  <c r="E763"/>
  <c r="E761" s="1"/>
  <c r="B763"/>
  <c r="K762"/>
  <c r="K761" s="1"/>
  <c r="J762"/>
  <c r="I762"/>
  <c r="L762" s="1"/>
  <c r="G762"/>
  <c r="F762"/>
  <c r="N762" s="1"/>
  <c r="E762"/>
  <c r="B762"/>
  <c r="B761" s="1"/>
  <c r="K760"/>
  <c r="K757" s="1"/>
  <c r="J760"/>
  <c r="I760"/>
  <c r="L760" s="1"/>
  <c r="G760"/>
  <c r="F760"/>
  <c r="N760" s="1"/>
  <c r="E760"/>
  <c r="D760"/>
  <c r="C760"/>
  <c r="B760"/>
  <c r="K759"/>
  <c r="J759"/>
  <c r="G759"/>
  <c r="O759" s="1"/>
  <c r="F759"/>
  <c r="F757" s="1"/>
  <c r="E759"/>
  <c r="B759"/>
  <c r="B757" s="1"/>
  <c r="B756" s="1"/>
  <c r="K758"/>
  <c r="J758"/>
  <c r="J757" s="1"/>
  <c r="J756" s="1"/>
  <c r="I758"/>
  <c r="G758"/>
  <c r="O758" s="1"/>
  <c r="F758"/>
  <c r="E758"/>
  <c r="H758" s="1"/>
  <c r="C758"/>
  <c r="B758"/>
  <c r="O754"/>
  <c r="N754"/>
  <c r="M754"/>
  <c r="L754"/>
  <c r="H754"/>
  <c r="D754"/>
  <c r="O753"/>
  <c r="O752" s="1"/>
  <c r="N753"/>
  <c r="N752" s="1"/>
  <c r="M753"/>
  <c r="L753"/>
  <c r="H753"/>
  <c r="D753"/>
  <c r="L752"/>
  <c r="K752"/>
  <c r="J752"/>
  <c r="J747" s="1"/>
  <c r="I752"/>
  <c r="H752"/>
  <c r="G752"/>
  <c r="F752"/>
  <c r="E752"/>
  <c r="D752"/>
  <c r="C752"/>
  <c r="B752"/>
  <c r="O751"/>
  <c r="N751"/>
  <c r="M751"/>
  <c r="L751"/>
  <c r="H751"/>
  <c r="D751"/>
  <c r="O750"/>
  <c r="N750"/>
  <c r="I750"/>
  <c r="M750" s="1"/>
  <c r="H750"/>
  <c r="O749"/>
  <c r="O748" s="1"/>
  <c r="J749"/>
  <c r="N749" s="1"/>
  <c r="I749"/>
  <c r="L749" s="1"/>
  <c r="H749"/>
  <c r="D749"/>
  <c r="K748"/>
  <c r="K747" s="1"/>
  <c r="J748"/>
  <c r="I748"/>
  <c r="I747" s="1"/>
  <c r="G748"/>
  <c r="G747" s="1"/>
  <c r="F748"/>
  <c r="E748"/>
  <c r="E747" s="1"/>
  <c r="B748"/>
  <c r="F747"/>
  <c r="O745"/>
  <c r="N745"/>
  <c r="I745"/>
  <c r="M745" s="1"/>
  <c r="H745"/>
  <c r="D745"/>
  <c r="O744"/>
  <c r="N744"/>
  <c r="M744"/>
  <c r="L744"/>
  <c r="H744"/>
  <c r="H743" s="1"/>
  <c r="H738" s="1"/>
  <c r="D744"/>
  <c r="N743"/>
  <c r="K743"/>
  <c r="J743"/>
  <c r="G743"/>
  <c r="G738" s="1"/>
  <c r="F743"/>
  <c r="E743"/>
  <c r="E738" s="1"/>
  <c r="D743"/>
  <c r="C743"/>
  <c r="B743"/>
  <c r="O742"/>
  <c r="N742"/>
  <c r="M742"/>
  <c r="L742"/>
  <c r="H742"/>
  <c r="D742"/>
  <c r="O741"/>
  <c r="O739" s="1"/>
  <c r="N741"/>
  <c r="I741"/>
  <c r="H741"/>
  <c r="C741"/>
  <c r="D741" s="1"/>
  <c r="O740"/>
  <c r="N740"/>
  <c r="M740"/>
  <c r="L740"/>
  <c r="H740"/>
  <c r="D740"/>
  <c r="N739"/>
  <c r="N738" s="1"/>
  <c r="K739"/>
  <c r="J739"/>
  <c r="J738" s="1"/>
  <c r="H739"/>
  <c r="G739"/>
  <c r="F739"/>
  <c r="E739"/>
  <c r="B739"/>
  <c r="K738"/>
  <c r="F738"/>
  <c r="B738"/>
  <c r="O736"/>
  <c r="N736"/>
  <c r="M736"/>
  <c r="L736"/>
  <c r="H736"/>
  <c r="D736"/>
  <c r="O735"/>
  <c r="N735"/>
  <c r="M735"/>
  <c r="L735"/>
  <c r="H735"/>
  <c r="D735"/>
  <c r="O734"/>
  <c r="N734"/>
  <c r="M734"/>
  <c r="L734"/>
  <c r="K734"/>
  <c r="J734"/>
  <c r="I734"/>
  <c r="H734"/>
  <c r="G734"/>
  <c r="F734"/>
  <c r="E734"/>
  <c r="D734"/>
  <c r="C734"/>
  <c r="B734"/>
  <c r="O733"/>
  <c r="N733"/>
  <c r="M733"/>
  <c r="L733"/>
  <c r="H733"/>
  <c r="D733"/>
  <c r="O732"/>
  <c r="N732"/>
  <c r="I732"/>
  <c r="M732" s="1"/>
  <c r="H732"/>
  <c r="O731"/>
  <c r="O730" s="1"/>
  <c r="N731"/>
  <c r="I731"/>
  <c r="M731" s="1"/>
  <c r="H731"/>
  <c r="D731"/>
  <c r="D704" s="1"/>
  <c r="N730"/>
  <c r="N729" s="1"/>
  <c r="K730"/>
  <c r="J730"/>
  <c r="J729" s="1"/>
  <c r="G730"/>
  <c r="G729" s="1"/>
  <c r="F730"/>
  <c r="E730"/>
  <c r="E729" s="1"/>
  <c r="B730"/>
  <c r="O729"/>
  <c r="K729"/>
  <c r="F729"/>
  <c r="B729"/>
  <c r="O727"/>
  <c r="N727"/>
  <c r="M727"/>
  <c r="L727"/>
  <c r="H727"/>
  <c r="C727"/>
  <c r="O726"/>
  <c r="N726"/>
  <c r="M726"/>
  <c r="L726"/>
  <c r="H726"/>
  <c r="D726"/>
  <c r="O725"/>
  <c r="N725"/>
  <c r="M725"/>
  <c r="L725"/>
  <c r="L720" s="1"/>
  <c r="K725"/>
  <c r="J725"/>
  <c r="J720" s="1"/>
  <c r="I725"/>
  <c r="H725"/>
  <c r="G725"/>
  <c r="F725"/>
  <c r="F720" s="1"/>
  <c r="E725"/>
  <c r="C725"/>
  <c r="B725"/>
  <c r="O724"/>
  <c r="N724"/>
  <c r="M724"/>
  <c r="P724" s="1"/>
  <c r="L724"/>
  <c r="H724"/>
  <c r="D724"/>
  <c r="O723"/>
  <c r="O721" s="1"/>
  <c r="O720" s="1"/>
  <c r="N723"/>
  <c r="M723"/>
  <c r="P723" s="1"/>
  <c r="L723"/>
  <c r="H723"/>
  <c r="C723" s="1"/>
  <c r="D723" s="1"/>
  <c r="D721" s="1"/>
  <c r="O722"/>
  <c r="N722"/>
  <c r="M722"/>
  <c r="L722"/>
  <c r="H722"/>
  <c r="D722"/>
  <c r="N721"/>
  <c r="L721"/>
  <c r="K721"/>
  <c r="J721"/>
  <c r="I721"/>
  <c r="G721"/>
  <c r="G720" s="1"/>
  <c r="F721"/>
  <c r="E721"/>
  <c r="B721"/>
  <c r="B720" s="1"/>
  <c r="N720"/>
  <c r="K720"/>
  <c r="I720"/>
  <c r="E720"/>
  <c r="O718"/>
  <c r="N718"/>
  <c r="M718"/>
  <c r="L718"/>
  <c r="H718"/>
  <c r="D718"/>
  <c r="O717"/>
  <c r="O716" s="1"/>
  <c r="N717"/>
  <c r="N716" s="1"/>
  <c r="M717"/>
  <c r="L717"/>
  <c r="L716" s="1"/>
  <c r="H717"/>
  <c r="D717"/>
  <c r="D708" s="1"/>
  <c r="K716"/>
  <c r="J716"/>
  <c r="I716"/>
  <c r="H716"/>
  <c r="G716"/>
  <c r="F716"/>
  <c r="E716"/>
  <c r="C716"/>
  <c r="B716"/>
  <c r="O715"/>
  <c r="N715"/>
  <c r="M715"/>
  <c r="L715"/>
  <c r="H715"/>
  <c r="D715"/>
  <c r="O714"/>
  <c r="N714"/>
  <c r="N712" s="1"/>
  <c r="I714"/>
  <c r="M714" s="1"/>
  <c r="H714"/>
  <c r="C714" s="1"/>
  <c r="D714" s="1"/>
  <c r="O713"/>
  <c r="N713"/>
  <c r="M713"/>
  <c r="L713"/>
  <c r="H713"/>
  <c r="H712" s="1"/>
  <c r="H711" s="1"/>
  <c r="D713"/>
  <c r="O712"/>
  <c r="K712"/>
  <c r="K711" s="1"/>
  <c r="J712"/>
  <c r="I712"/>
  <c r="I711" s="1"/>
  <c r="G712"/>
  <c r="G711" s="1"/>
  <c r="F712"/>
  <c r="E712"/>
  <c r="E711" s="1"/>
  <c r="B712"/>
  <c r="J711"/>
  <c r="F711"/>
  <c r="K709"/>
  <c r="J709"/>
  <c r="I709"/>
  <c r="G709"/>
  <c r="F709"/>
  <c r="E709"/>
  <c r="B709"/>
  <c r="B707" s="1"/>
  <c r="B702" s="1"/>
  <c r="K708"/>
  <c r="K707" s="1"/>
  <c r="J708"/>
  <c r="J707" s="1"/>
  <c r="J702" s="1"/>
  <c r="I708"/>
  <c r="G708"/>
  <c r="G707" s="1"/>
  <c r="F708"/>
  <c r="E708"/>
  <c r="C708"/>
  <c r="B708"/>
  <c r="E707"/>
  <c r="K706"/>
  <c r="J706"/>
  <c r="I706"/>
  <c r="G706"/>
  <c r="F706"/>
  <c r="E706"/>
  <c r="C706"/>
  <c r="B706"/>
  <c r="K705"/>
  <c r="J705"/>
  <c r="I705"/>
  <c r="L705" s="1"/>
  <c r="G705"/>
  <c r="F705"/>
  <c r="N705" s="1"/>
  <c r="E705"/>
  <c r="B705"/>
  <c r="K704"/>
  <c r="K703" s="1"/>
  <c r="J704"/>
  <c r="G704"/>
  <c r="F704"/>
  <c r="E704"/>
  <c r="C704"/>
  <c r="B704"/>
  <c r="B703" s="1"/>
  <c r="J703"/>
  <c r="E703"/>
  <c r="O700"/>
  <c r="N700"/>
  <c r="M700"/>
  <c r="L700"/>
  <c r="H700"/>
  <c r="D700"/>
  <c r="O699"/>
  <c r="O698" s="1"/>
  <c r="N699"/>
  <c r="M699"/>
  <c r="L699"/>
  <c r="L698" s="1"/>
  <c r="H699"/>
  <c r="C699"/>
  <c r="D699" s="1"/>
  <c r="D698" s="1"/>
  <c r="M698"/>
  <c r="K698"/>
  <c r="J698"/>
  <c r="I698"/>
  <c r="H698"/>
  <c r="G698"/>
  <c r="F698"/>
  <c r="E698"/>
  <c r="B698"/>
  <c r="O697"/>
  <c r="N697"/>
  <c r="M697"/>
  <c r="P697" s="1"/>
  <c r="L697"/>
  <c r="H697"/>
  <c r="D697"/>
  <c r="O696"/>
  <c r="O694" s="1"/>
  <c r="O693" s="1"/>
  <c r="N696"/>
  <c r="M696"/>
  <c r="L696"/>
  <c r="H696"/>
  <c r="C696" s="1"/>
  <c r="O695"/>
  <c r="N695"/>
  <c r="M695"/>
  <c r="L695"/>
  <c r="H695"/>
  <c r="D695"/>
  <c r="L694"/>
  <c r="L693" s="1"/>
  <c r="K694"/>
  <c r="J694"/>
  <c r="J693" s="1"/>
  <c r="I694"/>
  <c r="G694"/>
  <c r="F694"/>
  <c r="E694"/>
  <c r="E693" s="1"/>
  <c r="B694"/>
  <c r="B693" s="1"/>
  <c r="K693"/>
  <c r="I693"/>
  <c r="G693"/>
  <c r="O691"/>
  <c r="O689" s="1"/>
  <c r="N691"/>
  <c r="M691"/>
  <c r="M689" s="1"/>
  <c r="L691"/>
  <c r="H691"/>
  <c r="O690"/>
  <c r="N690"/>
  <c r="N689" s="1"/>
  <c r="M690"/>
  <c r="L690"/>
  <c r="L689" s="1"/>
  <c r="H690"/>
  <c r="D690"/>
  <c r="K689"/>
  <c r="J689"/>
  <c r="I689"/>
  <c r="G689"/>
  <c r="F689"/>
  <c r="E689"/>
  <c r="B689"/>
  <c r="O688"/>
  <c r="N688"/>
  <c r="M688"/>
  <c r="L688"/>
  <c r="H688"/>
  <c r="D688"/>
  <c r="O687"/>
  <c r="N687"/>
  <c r="I687"/>
  <c r="L687" s="1"/>
  <c r="H687"/>
  <c r="C687"/>
  <c r="O686"/>
  <c r="N686"/>
  <c r="N685" s="1"/>
  <c r="I686"/>
  <c r="H686"/>
  <c r="H685" s="1"/>
  <c r="D686"/>
  <c r="O685"/>
  <c r="K685"/>
  <c r="J685"/>
  <c r="G685"/>
  <c r="G684" s="1"/>
  <c r="F685"/>
  <c r="F684" s="1"/>
  <c r="E685"/>
  <c r="E684" s="1"/>
  <c r="B685"/>
  <c r="B684" s="1"/>
  <c r="K684"/>
  <c r="O682"/>
  <c r="N682"/>
  <c r="M682"/>
  <c r="L682"/>
  <c r="H682"/>
  <c r="D682"/>
  <c r="O681"/>
  <c r="N681"/>
  <c r="M681"/>
  <c r="L681"/>
  <c r="H681"/>
  <c r="H680" s="1"/>
  <c r="D681"/>
  <c r="D680" s="1"/>
  <c r="O680"/>
  <c r="N680"/>
  <c r="M680"/>
  <c r="L680"/>
  <c r="K680"/>
  <c r="J680"/>
  <c r="I680"/>
  <c r="G680"/>
  <c r="F680"/>
  <c r="E680"/>
  <c r="C680"/>
  <c r="B680"/>
  <c r="O679"/>
  <c r="N679"/>
  <c r="M679"/>
  <c r="L679"/>
  <c r="H679"/>
  <c r="D679"/>
  <c r="O678"/>
  <c r="O676" s="1"/>
  <c r="O675" s="1"/>
  <c r="N678"/>
  <c r="M678"/>
  <c r="P678" s="1"/>
  <c r="L678"/>
  <c r="H678"/>
  <c r="C678" s="1"/>
  <c r="O677"/>
  <c r="N677"/>
  <c r="N676" s="1"/>
  <c r="N675" s="1"/>
  <c r="M677"/>
  <c r="L677"/>
  <c r="L676" s="1"/>
  <c r="L675" s="1"/>
  <c r="H677"/>
  <c r="D677"/>
  <c r="K676"/>
  <c r="K675" s="1"/>
  <c r="J676"/>
  <c r="I676"/>
  <c r="I675" s="1"/>
  <c r="G676"/>
  <c r="G675" s="1"/>
  <c r="F676"/>
  <c r="E676"/>
  <c r="E675" s="1"/>
  <c r="B676"/>
  <c r="B675" s="1"/>
  <c r="J675"/>
  <c r="F675"/>
  <c r="O673"/>
  <c r="N673"/>
  <c r="M673"/>
  <c r="P673" s="1"/>
  <c r="L673"/>
  <c r="H673"/>
  <c r="C673" s="1"/>
  <c r="D673" s="1"/>
  <c r="O672"/>
  <c r="N672"/>
  <c r="N671" s="1"/>
  <c r="M672"/>
  <c r="L672"/>
  <c r="L671" s="1"/>
  <c r="H672"/>
  <c r="O671"/>
  <c r="K671"/>
  <c r="J671"/>
  <c r="I671"/>
  <c r="G671"/>
  <c r="F671"/>
  <c r="E671"/>
  <c r="B671"/>
  <c r="O670"/>
  <c r="N670"/>
  <c r="I670"/>
  <c r="H670"/>
  <c r="D670"/>
  <c r="O669"/>
  <c r="N669"/>
  <c r="I669"/>
  <c r="I667" s="1"/>
  <c r="I666" s="1"/>
  <c r="H669"/>
  <c r="C669"/>
  <c r="O668"/>
  <c r="N668"/>
  <c r="N667" s="1"/>
  <c r="N666" s="1"/>
  <c r="I668"/>
  <c r="L668" s="1"/>
  <c r="H668"/>
  <c r="H667" s="1"/>
  <c r="D668"/>
  <c r="O667"/>
  <c r="O666" s="1"/>
  <c r="K667"/>
  <c r="J667"/>
  <c r="J666" s="1"/>
  <c r="G667"/>
  <c r="G666" s="1"/>
  <c r="F667"/>
  <c r="F666" s="1"/>
  <c r="E667"/>
  <c r="E666" s="1"/>
  <c r="B667"/>
  <c r="O664"/>
  <c r="N664"/>
  <c r="M664"/>
  <c r="P664" s="1"/>
  <c r="L664"/>
  <c r="H664"/>
  <c r="D664"/>
  <c r="O663"/>
  <c r="O662" s="1"/>
  <c r="N663"/>
  <c r="M663"/>
  <c r="L663"/>
  <c r="H663"/>
  <c r="N662"/>
  <c r="L662"/>
  <c r="K662"/>
  <c r="J662"/>
  <c r="I662"/>
  <c r="G662"/>
  <c r="F662"/>
  <c r="E662"/>
  <c r="B662"/>
  <c r="O661"/>
  <c r="N661"/>
  <c r="M661"/>
  <c r="L661"/>
  <c r="H661"/>
  <c r="D661"/>
  <c r="O660"/>
  <c r="O658" s="1"/>
  <c r="O657" s="1"/>
  <c r="N660"/>
  <c r="M660"/>
  <c r="M658" s="1"/>
  <c r="L660"/>
  <c r="H660"/>
  <c r="C660" s="1"/>
  <c r="O659"/>
  <c r="N659"/>
  <c r="M659"/>
  <c r="L659"/>
  <c r="H659"/>
  <c r="D659"/>
  <c r="N658"/>
  <c r="L658"/>
  <c r="K658"/>
  <c r="J658"/>
  <c r="I658"/>
  <c r="G658"/>
  <c r="G657" s="1"/>
  <c r="F658"/>
  <c r="F657" s="1"/>
  <c r="E658"/>
  <c r="E657" s="1"/>
  <c r="B658"/>
  <c r="B657" s="1"/>
  <c r="K657"/>
  <c r="O655"/>
  <c r="N655"/>
  <c r="M655"/>
  <c r="L655"/>
  <c r="H655"/>
  <c r="C655" s="1"/>
  <c r="D655" s="1"/>
  <c r="O654"/>
  <c r="N654"/>
  <c r="M654"/>
  <c r="L654"/>
  <c r="H654"/>
  <c r="O653"/>
  <c r="N653"/>
  <c r="M653"/>
  <c r="L653"/>
  <c r="K653"/>
  <c r="J653"/>
  <c r="I653"/>
  <c r="G653"/>
  <c r="F653"/>
  <c r="E653"/>
  <c r="B653"/>
  <c r="O652"/>
  <c r="N652"/>
  <c r="M652"/>
  <c r="L652"/>
  <c r="H652"/>
  <c r="D652"/>
  <c r="O651"/>
  <c r="N651"/>
  <c r="M651"/>
  <c r="L651"/>
  <c r="L649" s="1"/>
  <c r="H651"/>
  <c r="C651" s="1"/>
  <c r="D651" s="1"/>
  <c r="O650"/>
  <c r="N650"/>
  <c r="M650"/>
  <c r="P650" s="1"/>
  <c r="L650"/>
  <c r="H650"/>
  <c r="D650"/>
  <c r="N649"/>
  <c r="N648" s="1"/>
  <c r="K649"/>
  <c r="J649"/>
  <c r="I649"/>
  <c r="G649"/>
  <c r="F649"/>
  <c r="E649"/>
  <c r="B649"/>
  <c r="L648"/>
  <c r="J648"/>
  <c r="F648"/>
  <c r="O646"/>
  <c r="N646"/>
  <c r="M646"/>
  <c r="L646"/>
  <c r="H646"/>
  <c r="C646"/>
  <c r="D646" s="1"/>
  <c r="O645"/>
  <c r="N645"/>
  <c r="P645" s="1"/>
  <c r="M645"/>
  <c r="L645"/>
  <c r="L644" s="1"/>
  <c r="H645"/>
  <c r="D645"/>
  <c r="M644"/>
  <c r="K644"/>
  <c r="K639" s="1"/>
  <c r="J644"/>
  <c r="I644"/>
  <c r="H644"/>
  <c r="G644"/>
  <c r="F644"/>
  <c r="E644"/>
  <c r="B644"/>
  <c r="O643"/>
  <c r="N643"/>
  <c r="M643"/>
  <c r="L643"/>
  <c r="H643"/>
  <c r="D643"/>
  <c r="O642"/>
  <c r="N642"/>
  <c r="M642"/>
  <c r="L642"/>
  <c r="H642"/>
  <c r="O641"/>
  <c r="J641"/>
  <c r="N641" s="1"/>
  <c r="I641"/>
  <c r="H641"/>
  <c r="D641"/>
  <c r="K640"/>
  <c r="J640"/>
  <c r="J639" s="1"/>
  <c r="G640"/>
  <c r="F640"/>
  <c r="F639" s="1"/>
  <c r="E640"/>
  <c r="E639" s="1"/>
  <c r="B640"/>
  <c r="G639"/>
  <c r="B639"/>
  <c r="O637"/>
  <c r="N637"/>
  <c r="M637"/>
  <c r="L637"/>
  <c r="H637"/>
  <c r="D637"/>
  <c r="O636"/>
  <c r="N636"/>
  <c r="P636" s="1"/>
  <c r="M636"/>
  <c r="L636"/>
  <c r="H636"/>
  <c r="D636"/>
  <c r="O635"/>
  <c r="N635"/>
  <c r="M635"/>
  <c r="L635"/>
  <c r="K635"/>
  <c r="J635"/>
  <c r="I635"/>
  <c r="H635"/>
  <c r="G635"/>
  <c r="F635"/>
  <c r="E635"/>
  <c r="D635"/>
  <c r="C635"/>
  <c r="B635"/>
  <c r="O634"/>
  <c r="N634"/>
  <c r="P634" s="1"/>
  <c r="M634"/>
  <c r="L634"/>
  <c r="H634"/>
  <c r="D634"/>
  <c r="O633"/>
  <c r="N633"/>
  <c r="M633"/>
  <c r="L633"/>
  <c r="H633"/>
  <c r="C633"/>
  <c r="D633" s="1"/>
  <c r="O632"/>
  <c r="N632"/>
  <c r="M632"/>
  <c r="L632"/>
  <c r="H632"/>
  <c r="D632"/>
  <c r="O631"/>
  <c r="N631"/>
  <c r="N630" s="1"/>
  <c r="M631"/>
  <c r="L631"/>
  <c r="L630" s="1"/>
  <c r="K631"/>
  <c r="J631"/>
  <c r="J630" s="1"/>
  <c r="I631"/>
  <c r="H631"/>
  <c r="H630" s="1"/>
  <c r="G631"/>
  <c r="F631"/>
  <c r="F630" s="1"/>
  <c r="E631"/>
  <c r="C631"/>
  <c r="C630" s="1"/>
  <c r="B631"/>
  <c r="O630"/>
  <c r="M630"/>
  <c r="K630"/>
  <c r="I630"/>
  <c r="G630"/>
  <c r="E630"/>
  <c r="B630"/>
  <c r="O628"/>
  <c r="N628"/>
  <c r="M628"/>
  <c r="L628"/>
  <c r="H628"/>
  <c r="D628"/>
  <c r="O627"/>
  <c r="N627"/>
  <c r="M627"/>
  <c r="L627"/>
  <c r="H627"/>
  <c r="D627"/>
  <c r="O626"/>
  <c r="N626"/>
  <c r="M626"/>
  <c r="L626"/>
  <c r="K626"/>
  <c r="J626"/>
  <c r="J621" s="1"/>
  <c r="I626"/>
  <c r="H626"/>
  <c r="G626"/>
  <c r="F626"/>
  <c r="E626"/>
  <c r="D626"/>
  <c r="C626"/>
  <c r="B626"/>
  <c r="B621" s="1"/>
  <c r="O625"/>
  <c r="N625"/>
  <c r="M625"/>
  <c r="L625"/>
  <c r="H625"/>
  <c r="D625"/>
  <c r="O624"/>
  <c r="N624"/>
  <c r="N622" s="1"/>
  <c r="N621" s="1"/>
  <c r="M624"/>
  <c r="L624"/>
  <c r="L622" s="1"/>
  <c r="L621" s="1"/>
  <c r="H624"/>
  <c r="D624"/>
  <c r="D622" s="1"/>
  <c r="D621" s="1"/>
  <c r="C624"/>
  <c r="O623"/>
  <c r="N623"/>
  <c r="M623"/>
  <c r="L623"/>
  <c r="H623"/>
  <c r="H622" s="1"/>
  <c r="H621" s="1"/>
  <c r="D623"/>
  <c r="O622"/>
  <c r="K622"/>
  <c r="K621" s="1"/>
  <c r="J622"/>
  <c r="I622"/>
  <c r="I621" s="1"/>
  <c r="G622"/>
  <c r="F622"/>
  <c r="E622"/>
  <c r="C622"/>
  <c r="B622"/>
  <c r="O621"/>
  <c r="G621"/>
  <c r="E621"/>
  <c r="C621"/>
  <c r="O619"/>
  <c r="N619"/>
  <c r="M619"/>
  <c r="L619"/>
  <c r="H619"/>
  <c r="D619"/>
  <c r="O618"/>
  <c r="N618"/>
  <c r="N617" s="1"/>
  <c r="M618"/>
  <c r="L618"/>
  <c r="L617" s="1"/>
  <c r="H618"/>
  <c r="C618" s="1"/>
  <c r="O617"/>
  <c r="M617"/>
  <c r="K617"/>
  <c r="J617"/>
  <c r="I617"/>
  <c r="G617"/>
  <c r="F617"/>
  <c r="E617"/>
  <c r="B617"/>
  <c r="O616"/>
  <c r="N616"/>
  <c r="M616"/>
  <c r="L616"/>
  <c r="H616"/>
  <c r="D616"/>
  <c r="D598" s="1"/>
  <c r="O615"/>
  <c r="N615"/>
  <c r="N613" s="1"/>
  <c r="N612" s="1"/>
  <c r="M615"/>
  <c r="L615"/>
  <c r="L613" s="1"/>
  <c r="L612" s="1"/>
  <c r="H615"/>
  <c r="D615"/>
  <c r="D613" s="1"/>
  <c r="C615"/>
  <c r="O614"/>
  <c r="N614"/>
  <c r="M614"/>
  <c r="L614"/>
  <c r="H614"/>
  <c r="H613" s="1"/>
  <c r="D614"/>
  <c r="O613"/>
  <c r="O612" s="1"/>
  <c r="K613"/>
  <c r="J613"/>
  <c r="I613"/>
  <c r="G613"/>
  <c r="F613"/>
  <c r="E613"/>
  <c r="C613"/>
  <c r="B613"/>
  <c r="K612"/>
  <c r="J612"/>
  <c r="I612"/>
  <c r="G612"/>
  <c r="F612"/>
  <c r="E612"/>
  <c r="B612"/>
  <c r="O610"/>
  <c r="N610"/>
  <c r="P610" s="1"/>
  <c r="M610"/>
  <c r="L610"/>
  <c r="H610"/>
  <c r="D610"/>
  <c r="O609"/>
  <c r="N609"/>
  <c r="M609"/>
  <c r="L609"/>
  <c r="H609"/>
  <c r="C609"/>
  <c r="D609" s="1"/>
  <c r="O608"/>
  <c r="N608"/>
  <c r="M608"/>
  <c r="L608"/>
  <c r="K608"/>
  <c r="J608"/>
  <c r="I608"/>
  <c r="H608"/>
  <c r="G608"/>
  <c r="F608"/>
  <c r="F603" s="1"/>
  <c r="E608"/>
  <c r="C608"/>
  <c r="B608"/>
  <c r="O607"/>
  <c r="N607"/>
  <c r="M607"/>
  <c r="L607"/>
  <c r="H607"/>
  <c r="D607"/>
  <c r="O606"/>
  <c r="O604" s="1"/>
  <c r="O603" s="1"/>
  <c r="N606"/>
  <c r="M606"/>
  <c r="L606"/>
  <c r="H606"/>
  <c r="C606" s="1"/>
  <c r="O605"/>
  <c r="N605"/>
  <c r="N604" s="1"/>
  <c r="N603" s="1"/>
  <c r="M605"/>
  <c r="L605"/>
  <c r="H605"/>
  <c r="D605"/>
  <c r="L604"/>
  <c r="L603" s="1"/>
  <c r="K604"/>
  <c r="K603" s="1"/>
  <c r="J604"/>
  <c r="J603" s="1"/>
  <c r="I604"/>
  <c r="I603" s="1"/>
  <c r="G604"/>
  <c r="G603" s="1"/>
  <c r="F604"/>
  <c r="E604"/>
  <c r="E603" s="1"/>
  <c r="B604"/>
  <c r="B603" s="1"/>
  <c r="K601"/>
  <c r="J601"/>
  <c r="I601"/>
  <c r="L601" s="1"/>
  <c r="G601"/>
  <c r="F601"/>
  <c r="N601" s="1"/>
  <c r="E601"/>
  <c r="B601"/>
  <c r="B599" s="1"/>
  <c r="K600"/>
  <c r="J600"/>
  <c r="J599" s="1"/>
  <c r="I600"/>
  <c r="G600"/>
  <c r="G599" s="1"/>
  <c r="F600"/>
  <c r="E600"/>
  <c r="E599" s="1"/>
  <c r="B600"/>
  <c r="K599"/>
  <c r="F599"/>
  <c r="K598"/>
  <c r="J598"/>
  <c r="I598"/>
  <c r="G598"/>
  <c r="F598"/>
  <c r="E598"/>
  <c r="C598"/>
  <c r="B598"/>
  <c r="K597"/>
  <c r="K595" s="1"/>
  <c r="K594" s="1"/>
  <c r="J597"/>
  <c r="I597"/>
  <c r="G597"/>
  <c r="F597"/>
  <c r="F595" s="1"/>
  <c r="E597"/>
  <c r="B597"/>
  <c r="B595" s="1"/>
  <c r="K596"/>
  <c r="J596"/>
  <c r="J595" s="1"/>
  <c r="J594" s="1"/>
  <c r="G596"/>
  <c r="O596" s="1"/>
  <c r="F596"/>
  <c r="E596"/>
  <c r="H596" s="1"/>
  <c r="C596"/>
  <c r="B596"/>
  <c r="F594"/>
  <c r="O592"/>
  <c r="N592"/>
  <c r="N590" s="1"/>
  <c r="M592"/>
  <c r="L592"/>
  <c r="L590" s="1"/>
  <c r="H592"/>
  <c r="C592" s="1"/>
  <c r="O591"/>
  <c r="N591"/>
  <c r="M591"/>
  <c r="P591" s="1"/>
  <c r="L591"/>
  <c r="H591"/>
  <c r="H590" s="1"/>
  <c r="D591"/>
  <c r="O590"/>
  <c r="K590"/>
  <c r="K585" s="1"/>
  <c r="J590"/>
  <c r="I590"/>
  <c r="I585" s="1"/>
  <c r="G590"/>
  <c r="F590"/>
  <c r="E590"/>
  <c r="B590"/>
  <c r="O589"/>
  <c r="N589"/>
  <c r="M589"/>
  <c r="L589"/>
  <c r="H589"/>
  <c r="D589"/>
  <c r="O588"/>
  <c r="N588"/>
  <c r="M588"/>
  <c r="L588"/>
  <c r="H588"/>
  <c r="C588"/>
  <c r="D588" s="1"/>
  <c r="O587"/>
  <c r="N587"/>
  <c r="M587"/>
  <c r="L587"/>
  <c r="H587"/>
  <c r="D587"/>
  <c r="O586"/>
  <c r="N586"/>
  <c r="N585" s="1"/>
  <c r="M586"/>
  <c r="L586"/>
  <c r="L585" s="1"/>
  <c r="K586"/>
  <c r="J586"/>
  <c r="J585" s="1"/>
  <c r="I586"/>
  <c r="H586"/>
  <c r="H585" s="1"/>
  <c r="G586"/>
  <c r="F586"/>
  <c r="F585" s="1"/>
  <c r="E586"/>
  <c r="C586"/>
  <c r="B586"/>
  <c r="O585"/>
  <c r="G585"/>
  <c r="E585"/>
  <c r="B585"/>
  <c r="O583"/>
  <c r="N583"/>
  <c r="M583"/>
  <c r="L583"/>
  <c r="H583"/>
  <c r="D583"/>
  <c r="O582"/>
  <c r="N582"/>
  <c r="N581" s="1"/>
  <c r="M582"/>
  <c r="L582"/>
  <c r="L581" s="1"/>
  <c r="H582"/>
  <c r="D582"/>
  <c r="D581" s="1"/>
  <c r="C582"/>
  <c r="O581"/>
  <c r="M581"/>
  <c r="K581"/>
  <c r="J581"/>
  <c r="I581"/>
  <c r="H581"/>
  <c r="G581"/>
  <c r="F581"/>
  <c r="E581"/>
  <c r="C581"/>
  <c r="B581"/>
  <c r="O580"/>
  <c r="N580"/>
  <c r="M580"/>
  <c r="L580"/>
  <c r="H580"/>
  <c r="D580"/>
  <c r="O579"/>
  <c r="N579"/>
  <c r="M579"/>
  <c r="L579"/>
  <c r="H579"/>
  <c r="C579"/>
  <c r="D579" s="1"/>
  <c r="O578"/>
  <c r="N578"/>
  <c r="P578" s="1"/>
  <c r="M578"/>
  <c r="L578"/>
  <c r="L577" s="1"/>
  <c r="H578"/>
  <c r="D578"/>
  <c r="M577"/>
  <c r="K577"/>
  <c r="J577"/>
  <c r="I577"/>
  <c r="H577"/>
  <c r="G577"/>
  <c r="F577"/>
  <c r="E577"/>
  <c r="B577"/>
  <c r="M576"/>
  <c r="J576"/>
  <c r="H576"/>
  <c r="F576"/>
  <c r="B576"/>
  <c r="O574"/>
  <c r="N574"/>
  <c r="P574" s="1"/>
  <c r="M574"/>
  <c r="L574"/>
  <c r="H574"/>
  <c r="D574"/>
  <c r="O573"/>
  <c r="O572" s="1"/>
  <c r="N573"/>
  <c r="N572" s="1"/>
  <c r="M573"/>
  <c r="L573"/>
  <c r="L572" s="1"/>
  <c r="H573"/>
  <c r="D573"/>
  <c r="D572" s="1"/>
  <c r="K572"/>
  <c r="J572"/>
  <c r="I572"/>
  <c r="H572"/>
  <c r="G572"/>
  <c r="F572"/>
  <c r="E572"/>
  <c r="E567" s="1"/>
  <c r="C572"/>
  <c r="B572"/>
  <c r="O571"/>
  <c r="N571"/>
  <c r="M571"/>
  <c r="L571"/>
  <c r="H571"/>
  <c r="D571"/>
  <c r="O570"/>
  <c r="O568" s="1"/>
  <c r="N570"/>
  <c r="M570"/>
  <c r="L570"/>
  <c r="H570"/>
  <c r="C570" s="1"/>
  <c r="O569"/>
  <c r="N569"/>
  <c r="M569"/>
  <c r="L569"/>
  <c r="H569"/>
  <c r="D569"/>
  <c r="K568"/>
  <c r="J568"/>
  <c r="I568"/>
  <c r="I567" s="1"/>
  <c r="G568"/>
  <c r="F568"/>
  <c r="E568"/>
  <c r="B568"/>
  <c r="K567"/>
  <c r="G567"/>
  <c r="O565"/>
  <c r="N565"/>
  <c r="M565"/>
  <c r="L565"/>
  <c r="H565"/>
  <c r="C565"/>
  <c r="O564"/>
  <c r="N564"/>
  <c r="P564" s="1"/>
  <c r="M564"/>
  <c r="L564"/>
  <c r="L563" s="1"/>
  <c r="L558" s="1"/>
  <c r="H564"/>
  <c r="D564"/>
  <c r="M563"/>
  <c r="K563"/>
  <c r="J563"/>
  <c r="I563"/>
  <c r="H563"/>
  <c r="G563"/>
  <c r="F563"/>
  <c r="E563"/>
  <c r="B563"/>
  <c r="O562"/>
  <c r="N562"/>
  <c r="M562"/>
  <c r="L562"/>
  <c r="H562"/>
  <c r="D562"/>
  <c r="O561"/>
  <c r="N561"/>
  <c r="M561"/>
  <c r="L561"/>
  <c r="L559" s="1"/>
  <c r="H561"/>
  <c r="C561" s="1"/>
  <c r="O560"/>
  <c r="O559" s="1"/>
  <c r="N560"/>
  <c r="M560"/>
  <c r="P560" s="1"/>
  <c r="L560"/>
  <c r="H560"/>
  <c r="H559" s="1"/>
  <c r="H558" s="1"/>
  <c r="D560"/>
  <c r="N559"/>
  <c r="K559"/>
  <c r="K558" s="1"/>
  <c r="J559"/>
  <c r="I559"/>
  <c r="I558" s="1"/>
  <c r="G559"/>
  <c r="F559"/>
  <c r="E559"/>
  <c r="B559"/>
  <c r="B558" s="1"/>
  <c r="J558"/>
  <c r="F558"/>
  <c r="O556"/>
  <c r="N556"/>
  <c r="N554" s="1"/>
  <c r="M556"/>
  <c r="L556"/>
  <c r="H556"/>
  <c r="C556" s="1"/>
  <c r="O555"/>
  <c r="O554" s="1"/>
  <c r="N555"/>
  <c r="M555"/>
  <c r="L555"/>
  <c r="H555"/>
  <c r="C555" s="1"/>
  <c r="L554"/>
  <c r="K554"/>
  <c r="J554"/>
  <c r="I554"/>
  <c r="G554"/>
  <c r="G549" s="1"/>
  <c r="F554"/>
  <c r="E554"/>
  <c r="E549" s="1"/>
  <c r="B554"/>
  <c r="O553"/>
  <c r="N553"/>
  <c r="M553"/>
  <c r="L553"/>
  <c r="H553"/>
  <c r="D553"/>
  <c r="O552"/>
  <c r="N552"/>
  <c r="M552"/>
  <c r="L552"/>
  <c r="H552"/>
  <c r="C552" s="1"/>
  <c r="D552" s="1"/>
  <c r="O551"/>
  <c r="N551"/>
  <c r="N550" s="1"/>
  <c r="M551"/>
  <c r="L551"/>
  <c r="H551"/>
  <c r="D551"/>
  <c r="L550"/>
  <c r="K550"/>
  <c r="J550"/>
  <c r="I550"/>
  <c r="G550"/>
  <c r="F550"/>
  <c r="F549" s="1"/>
  <c r="E550"/>
  <c r="B550"/>
  <c r="K549"/>
  <c r="I549"/>
  <c r="B549"/>
  <c r="O547"/>
  <c r="N547"/>
  <c r="M547"/>
  <c r="L547"/>
  <c r="H547"/>
  <c r="D547"/>
  <c r="O546"/>
  <c r="N546"/>
  <c r="P546" s="1"/>
  <c r="M546"/>
  <c r="L546"/>
  <c r="H546"/>
  <c r="D546"/>
  <c r="O545"/>
  <c r="N545"/>
  <c r="M545"/>
  <c r="L545"/>
  <c r="K545"/>
  <c r="J545"/>
  <c r="J540" s="1"/>
  <c r="I545"/>
  <c r="H545"/>
  <c r="G545"/>
  <c r="F545"/>
  <c r="E545"/>
  <c r="D545"/>
  <c r="C545"/>
  <c r="B545"/>
  <c r="O544"/>
  <c r="N544"/>
  <c r="M544"/>
  <c r="L544"/>
  <c r="H544"/>
  <c r="D544"/>
  <c r="O543"/>
  <c r="N543"/>
  <c r="N541" s="1"/>
  <c r="N540" s="1"/>
  <c r="M543"/>
  <c r="L543"/>
  <c r="L541" s="1"/>
  <c r="L540" s="1"/>
  <c r="H543"/>
  <c r="D543"/>
  <c r="D541" s="1"/>
  <c r="D540" s="1"/>
  <c r="C543"/>
  <c r="O542"/>
  <c r="N542"/>
  <c r="M542"/>
  <c r="M541" s="1"/>
  <c r="M540" s="1"/>
  <c r="L542"/>
  <c r="H542"/>
  <c r="H541" s="1"/>
  <c r="H540" s="1"/>
  <c r="D542"/>
  <c r="O541"/>
  <c r="O540" s="1"/>
  <c r="K541"/>
  <c r="K540" s="1"/>
  <c r="J541"/>
  <c r="I541"/>
  <c r="I540" s="1"/>
  <c r="G541"/>
  <c r="G540" s="1"/>
  <c r="F541"/>
  <c r="E541"/>
  <c r="E540" s="1"/>
  <c r="C541"/>
  <c r="C540" s="1"/>
  <c r="B541"/>
  <c r="B540"/>
  <c r="O538"/>
  <c r="N538"/>
  <c r="P538" s="1"/>
  <c r="M538"/>
  <c r="L538"/>
  <c r="H538"/>
  <c r="D538"/>
  <c r="O537"/>
  <c r="N537"/>
  <c r="M537"/>
  <c r="L537"/>
  <c r="H537"/>
  <c r="C537"/>
  <c r="D537" s="1"/>
  <c r="O536"/>
  <c r="N536"/>
  <c r="M536"/>
  <c r="L536"/>
  <c r="K536"/>
  <c r="J536"/>
  <c r="I536"/>
  <c r="H536"/>
  <c r="G536"/>
  <c r="F536"/>
  <c r="F531" s="1"/>
  <c r="E536"/>
  <c r="C536"/>
  <c r="B536"/>
  <c r="O535"/>
  <c r="N535"/>
  <c r="M535"/>
  <c r="L535"/>
  <c r="H535"/>
  <c r="D535"/>
  <c r="O534"/>
  <c r="O532" s="1"/>
  <c r="O531" s="1"/>
  <c r="N534"/>
  <c r="M534"/>
  <c r="L534"/>
  <c r="H534"/>
  <c r="C534" s="1"/>
  <c r="O533"/>
  <c r="N533"/>
  <c r="N532" s="1"/>
  <c r="N531" s="1"/>
  <c r="M533"/>
  <c r="L533"/>
  <c r="H533"/>
  <c r="D533"/>
  <c r="L532"/>
  <c r="L531" s="1"/>
  <c r="K532"/>
  <c r="K531" s="1"/>
  <c r="J532"/>
  <c r="J531" s="1"/>
  <c r="I532"/>
  <c r="I531" s="1"/>
  <c r="G532"/>
  <c r="G531" s="1"/>
  <c r="F532"/>
  <c r="E532"/>
  <c r="E531" s="1"/>
  <c r="B532"/>
  <c r="B531" s="1"/>
  <c r="O529"/>
  <c r="O527" s="1"/>
  <c r="N529"/>
  <c r="M529"/>
  <c r="L529"/>
  <c r="H529"/>
  <c r="C529" s="1"/>
  <c r="O528"/>
  <c r="N528"/>
  <c r="N527" s="1"/>
  <c r="M528"/>
  <c r="L528"/>
  <c r="H528"/>
  <c r="D528"/>
  <c r="L527"/>
  <c r="K527"/>
  <c r="J527"/>
  <c r="I527"/>
  <c r="G527"/>
  <c r="G522" s="1"/>
  <c r="F527"/>
  <c r="E527"/>
  <c r="E522" s="1"/>
  <c r="B527"/>
  <c r="O526"/>
  <c r="N526"/>
  <c r="M526"/>
  <c r="L526"/>
  <c r="H526"/>
  <c r="C526" s="1"/>
  <c r="O525"/>
  <c r="N525"/>
  <c r="M525"/>
  <c r="L525"/>
  <c r="H525"/>
  <c r="D525"/>
  <c r="O524"/>
  <c r="N524"/>
  <c r="I524"/>
  <c r="H524"/>
  <c r="C524"/>
  <c r="D524" s="1"/>
  <c r="N523"/>
  <c r="K523"/>
  <c r="J523"/>
  <c r="J522" s="1"/>
  <c r="G523"/>
  <c r="F523"/>
  <c r="E523"/>
  <c r="B523"/>
  <c r="K522"/>
  <c r="F522"/>
  <c r="B522"/>
  <c r="O520"/>
  <c r="N520"/>
  <c r="M520"/>
  <c r="L520"/>
  <c r="L518" s="1"/>
  <c r="H520"/>
  <c r="D520"/>
  <c r="C520"/>
  <c r="O519"/>
  <c r="O518" s="1"/>
  <c r="N519"/>
  <c r="M519"/>
  <c r="P519" s="1"/>
  <c r="L519"/>
  <c r="H519"/>
  <c r="N518"/>
  <c r="K518"/>
  <c r="J518"/>
  <c r="I518"/>
  <c r="G518"/>
  <c r="G513" s="1"/>
  <c r="F518"/>
  <c r="E518"/>
  <c r="E513" s="1"/>
  <c r="B518"/>
  <c r="O517"/>
  <c r="N517"/>
  <c r="M517"/>
  <c r="L517"/>
  <c r="H517"/>
  <c r="D517"/>
  <c r="O516"/>
  <c r="O514" s="1"/>
  <c r="N516"/>
  <c r="M516"/>
  <c r="L516"/>
  <c r="H516"/>
  <c r="C516" s="1"/>
  <c r="O515"/>
  <c r="N515"/>
  <c r="M515"/>
  <c r="L515"/>
  <c r="H515"/>
  <c r="D515"/>
  <c r="K514"/>
  <c r="J514"/>
  <c r="I514"/>
  <c r="I513" s="1"/>
  <c r="G514"/>
  <c r="F514"/>
  <c r="E514"/>
  <c r="B514"/>
  <c r="K513"/>
  <c r="K511"/>
  <c r="J511"/>
  <c r="I511"/>
  <c r="L511" s="1"/>
  <c r="G511"/>
  <c r="F511"/>
  <c r="N511" s="1"/>
  <c r="E511"/>
  <c r="B511"/>
  <c r="B509" s="1"/>
  <c r="K510"/>
  <c r="J510"/>
  <c r="J509" s="1"/>
  <c r="I510"/>
  <c r="G510"/>
  <c r="G509" s="1"/>
  <c r="F510"/>
  <c r="E510"/>
  <c r="E509" s="1"/>
  <c r="B510"/>
  <c r="K509"/>
  <c r="F509"/>
  <c r="K508"/>
  <c r="J508"/>
  <c r="I508"/>
  <c r="G508"/>
  <c r="F508"/>
  <c r="E508"/>
  <c r="B508"/>
  <c r="B505" s="1"/>
  <c r="B504" s="1"/>
  <c r="K507"/>
  <c r="J507"/>
  <c r="J505" s="1"/>
  <c r="I507"/>
  <c r="G507"/>
  <c r="G505" s="1"/>
  <c r="G504" s="1"/>
  <c r="F507"/>
  <c r="E507"/>
  <c r="E505" s="1"/>
  <c r="B507"/>
  <c r="K506"/>
  <c r="J506"/>
  <c r="I506"/>
  <c r="L506" s="1"/>
  <c r="G506"/>
  <c r="F506"/>
  <c r="N506" s="1"/>
  <c r="E506"/>
  <c r="C506"/>
  <c r="B506"/>
  <c r="K505"/>
  <c r="K504" s="1"/>
  <c r="F505"/>
  <c r="F504" s="1"/>
  <c r="J504"/>
  <c r="E504"/>
  <c r="O502"/>
  <c r="N502"/>
  <c r="M502"/>
  <c r="P502" s="1"/>
  <c r="L502"/>
  <c r="H502"/>
  <c r="C502" s="1"/>
  <c r="O501"/>
  <c r="N501"/>
  <c r="N500" s="1"/>
  <c r="M501"/>
  <c r="L501"/>
  <c r="H501"/>
  <c r="C501"/>
  <c r="D501" s="1"/>
  <c r="L500"/>
  <c r="K500"/>
  <c r="J500"/>
  <c r="I500"/>
  <c r="H500"/>
  <c r="G500"/>
  <c r="F500"/>
  <c r="E500"/>
  <c r="B500"/>
  <c r="O499"/>
  <c r="N499"/>
  <c r="M499"/>
  <c r="L499"/>
  <c r="H499"/>
  <c r="D499"/>
  <c r="D445" s="1"/>
  <c r="O498"/>
  <c r="N498"/>
  <c r="M498"/>
  <c r="L498"/>
  <c r="H498"/>
  <c r="C498"/>
  <c r="D498" s="1"/>
  <c r="O497"/>
  <c r="N497"/>
  <c r="N496" s="1"/>
  <c r="N495" s="1"/>
  <c r="M497"/>
  <c r="L497"/>
  <c r="L496" s="1"/>
  <c r="L495" s="1"/>
  <c r="H497"/>
  <c r="D497"/>
  <c r="K496"/>
  <c r="J496"/>
  <c r="I496"/>
  <c r="H496"/>
  <c r="G496"/>
  <c r="F496"/>
  <c r="E496"/>
  <c r="B496"/>
  <c r="K495"/>
  <c r="J495"/>
  <c r="I495"/>
  <c r="H495"/>
  <c r="G495"/>
  <c r="F495"/>
  <c r="E495"/>
  <c r="O493"/>
  <c r="O491" s="1"/>
  <c r="N493"/>
  <c r="M493"/>
  <c r="L493"/>
  <c r="H493"/>
  <c r="C493" s="1"/>
  <c r="O492"/>
  <c r="N492"/>
  <c r="N491" s="1"/>
  <c r="M492"/>
  <c r="L492"/>
  <c r="H492"/>
  <c r="D492"/>
  <c r="L491"/>
  <c r="K491"/>
  <c r="J491"/>
  <c r="I491"/>
  <c r="G491"/>
  <c r="F491"/>
  <c r="E491"/>
  <c r="B491"/>
  <c r="O490"/>
  <c r="N490"/>
  <c r="M490"/>
  <c r="L490"/>
  <c r="H490"/>
  <c r="D490"/>
  <c r="O489"/>
  <c r="O487" s="1"/>
  <c r="O486" s="1"/>
  <c r="N489"/>
  <c r="M489"/>
  <c r="L489"/>
  <c r="H489"/>
  <c r="C489" s="1"/>
  <c r="O488"/>
  <c r="N488"/>
  <c r="M488"/>
  <c r="L488"/>
  <c r="H488"/>
  <c r="D488"/>
  <c r="M487"/>
  <c r="K487"/>
  <c r="J487"/>
  <c r="I487"/>
  <c r="G487"/>
  <c r="F487"/>
  <c r="E487"/>
  <c r="B487"/>
  <c r="B486" s="1"/>
  <c r="K486"/>
  <c r="J486"/>
  <c r="I486"/>
  <c r="G486"/>
  <c r="F486"/>
  <c r="E486"/>
  <c r="O484"/>
  <c r="N484"/>
  <c r="M484"/>
  <c r="L484"/>
  <c r="H484"/>
  <c r="D484"/>
  <c r="O483"/>
  <c r="N483"/>
  <c r="M483"/>
  <c r="L483"/>
  <c r="H483"/>
  <c r="H482" s="1"/>
  <c r="D483"/>
  <c r="O482"/>
  <c r="N482"/>
  <c r="M482"/>
  <c r="L482"/>
  <c r="K482"/>
  <c r="J482"/>
  <c r="I482"/>
  <c r="G482"/>
  <c r="G477" s="1"/>
  <c r="F482"/>
  <c r="E482"/>
  <c r="D482"/>
  <c r="C482"/>
  <c r="B482"/>
  <c r="O481"/>
  <c r="N481"/>
  <c r="M481"/>
  <c r="L481"/>
  <c r="H481"/>
  <c r="D481"/>
  <c r="O480"/>
  <c r="O478" s="1"/>
  <c r="N480"/>
  <c r="M480"/>
  <c r="L480"/>
  <c r="H480"/>
  <c r="C480" s="1"/>
  <c r="O479"/>
  <c r="N479"/>
  <c r="M479"/>
  <c r="L479"/>
  <c r="H479"/>
  <c r="D479"/>
  <c r="K478"/>
  <c r="K477" s="1"/>
  <c r="J478"/>
  <c r="I478"/>
  <c r="I477" s="1"/>
  <c r="G478"/>
  <c r="F478"/>
  <c r="E478"/>
  <c r="B478"/>
  <c r="O477"/>
  <c r="E477"/>
  <c r="O475"/>
  <c r="N475"/>
  <c r="M475"/>
  <c r="L475"/>
  <c r="H475"/>
  <c r="D475"/>
  <c r="O474"/>
  <c r="O473" s="1"/>
  <c r="N474"/>
  <c r="M474"/>
  <c r="L474"/>
  <c r="H474"/>
  <c r="C474" s="1"/>
  <c r="N473"/>
  <c r="L473"/>
  <c r="K473"/>
  <c r="J473"/>
  <c r="I473"/>
  <c r="G473"/>
  <c r="F473"/>
  <c r="E473"/>
  <c r="E468" s="1"/>
  <c r="B473"/>
  <c r="O472"/>
  <c r="N472"/>
  <c r="M472"/>
  <c r="L472"/>
  <c r="H472"/>
  <c r="D472"/>
  <c r="O471"/>
  <c r="N471"/>
  <c r="M471"/>
  <c r="L471"/>
  <c r="H471"/>
  <c r="C471" s="1"/>
  <c r="D471" s="1"/>
  <c r="O470"/>
  <c r="O469" s="1"/>
  <c r="N470"/>
  <c r="N469" s="1"/>
  <c r="M470"/>
  <c r="L470"/>
  <c r="H470"/>
  <c r="D470"/>
  <c r="L469"/>
  <c r="L468" s="1"/>
  <c r="K469"/>
  <c r="J469"/>
  <c r="J468" s="1"/>
  <c r="I469"/>
  <c r="H469"/>
  <c r="G469"/>
  <c r="F469"/>
  <c r="F468" s="1"/>
  <c r="E469"/>
  <c r="C469"/>
  <c r="B469"/>
  <c r="K468"/>
  <c r="I468"/>
  <c r="G468"/>
  <c r="B468"/>
  <c r="O466"/>
  <c r="N466"/>
  <c r="M466"/>
  <c r="L466"/>
  <c r="H466"/>
  <c r="D466"/>
  <c r="O465"/>
  <c r="N465"/>
  <c r="M465"/>
  <c r="L465"/>
  <c r="H465"/>
  <c r="D465"/>
  <c r="O464"/>
  <c r="N464"/>
  <c r="M464"/>
  <c r="L464"/>
  <c r="K464"/>
  <c r="J464"/>
  <c r="I464"/>
  <c r="H464"/>
  <c r="G464"/>
  <c r="F464"/>
  <c r="E464"/>
  <c r="D464"/>
  <c r="C464"/>
  <c r="B464"/>
  <c r="O463"/>
  <c r="N463"/>
  <c r="M463"/>
  <c r="L463"/>
  <c r="H463"/>
  <c r="D463"/>
  <c r="O462"/>
  <c r="N462"/>
  <c r="M462"/>
  <c r="L462"/>
  <c r="H462"/>
  <c r="D462"/>
  <c r="O461"/>
  <c r="N461"/>
  <c r="M461"/>
  <c r="L461"/>
  <c r="H461"/>
  <c r="D461"/>
  <c r="O460"/>
  <c r="N460"/>
  <c r="M460"/>
  <c r="L460"/>
  <c r="K460"/>
  <c r="J460"/>
  <c r="I460"/>
  <c r="H460"/>
  <c r="G460"/>
  <c r="F460"/>
  <c r="E460"/>
  <c r="D460"/>
  <c r="C460"/>
  <c r="B460"/>
  <c r="O459"/>
  <c r="N459"/>
  <c r="M459"/>
  <c r="L459"/>
  <c r="K459"/>
  <c r="J459"/>
  <c r="I459"/>
  <c r="H459"/>
  <c r="G459"/>
  <c r="F459"/>
  <c r="E459"/>
  <c r="D459"/>
  <c r="C459"/>
  <c r="B459"/>
  <c r="O457"/>
  <c r="N457"/>
  <c r="M457"/>
  <c r="L457"/>
  <c r="H457"/>
  <c r="C457"/>
  <c r="D457" s="1"/>
  <c r="O456"/>
  <c r="N456"/>
  <c r="M456"/>
  <c r="L456"/>
  <c r="H456"/>
  <c r="D456"/>
  <c r="O455"/>
  <c r="N455"/>
  <c r="M455"/>
  <c r="L455"/>
  <c r="L450" s="1"/>
  <c r="K455"/>
  <c r="J455"/>
  <c r="J450" s="1"/>
  <c r="I455"/>
  <c r="H455"/>
  <c r="G455"/>
  <c r="F455"/>
  <c r="F450" s="1"/>
  <c r="E455"/>
  <c r="C455"/>
  <c r="B455"/>
  <c r="O454"/>
  <c r="N454"/>
  <c r="M454"/>
  <c r="P454" s="1"/>
  <c r="L454"/>
  <c r="H454"/>
  <c r="D454"/>
  <c r="O453"/>
  <c r="N453"/>
  <c r="M453"/>
  <c r="L453"/>
  <c r="H453"/>
  <c r="C453" s="1"/>
  <c r="D453" s="1"/>
  <c r="D451" s="1"/>
  <c r="O452"/>
  <c r="N452"/>
  <c r="M452"/>
  <c r="L452"/>
  <c r="H452"/>
  <c r="H451" s="1"/>
  <c r="H450" s="1"/>
  <c r="Q450" s="1"/>
  <c r="D452"/>
  <c r="N451"/>
  <c r="N450" s="1"/>
  <c r="L451"/>
  <c r="K451"/>
  <c r="J451"/>
  <c r="I451"/>
  <c r="I450" s="1"/>
  <c r="G451"/>
  <c r="F451"/>
  <c r="E451"/>
  <c r="B451"/>
  <c r="B450" s="1"/>
  <c r="K450"/>
  <c r="G450"/>
  <c r="E450"/>
  <c r="K448"/>
  <c r="J448"/>
  <c r="I448"/>
  <c r="G448"/>
  <c r="F448"/>
  <c r="E448"/>
  <c r="B448"/>
  <c r="K447"/>
  <c r="K446" s="1"/>
  <c r="J447"/>
  <c r="I447"/>
  <c r="G447"/>
  <c r="F447"/>
  <c r="E447"/>
  <c r="B447"/>
  <c r="B446" s="1"/>
  <c r="J446"/>
  <c r="G446"/>
  <c r="E446"/>
  <c r="K445"/>
  <c r="J445"/>
  <c r="I445"/>
  <c r="L445" s="1"/>
  <c r="G445"/>
  <c r="F445"/>
  <c r="N445" s="1"/>
  <c r="E445"/>
  <c r="C445"/>
  <c r="B445"/>
  <c r="K444"/>
  <c r="J444"/>
  <c r="L444" s="1"/>
  <c r="I444"/>
  <c r="G444"/>
  <c r="O444" s="1"/>
  <c r="F444"/>
  <c r="E444"/>
  <c r="M444" s="1"/>
  <c r="B444"/>
  <c r="K443"/>
  <c r="J443"/>
  <c r="I443"/>
  <c r="I442" s="1"/>
  <c r="G443"/>
  <c r="F443"/>
  <c r="E443"/>
  <c r="C443"/>
  <c r="B443"/>
  <c r="K442"/>
  <c r="K441" s="1"/>
  <c r="F442"/>
  <c r="O439"/>
  <c r="N439"/>
  <c r="M439"/>
  <c r="P439" s="1"/>
  <c r="L439"/>
  <c r="H439"/>
  <c r="D439"/>
  <c r="O438"/>
  <c r="O437" s="1"/>
  <c r="N438"/>
  <c r="M438"/>
  <c r="M437" s="1"/>
  <c r="L438"/>
  <c r="H438"/>
  <c r="N437"/>
  <c r="L437"/>
  <c r="K437"/>
  <c r="J437"/>
  <c r="I437"/>
  <c r="G437"/>
  <c r="F437"/>
  <c r="E437"/>
  <c r="B437"/>
  <c r="O436"/>
  <c r="N436"/>
  <c r="I436"/>
  <c r="M436" s="1"/>
  <c r="H436"/>
  <c r="D436"/>
  <c r="O435"/>
  <c r="N435"/>
  <c r="I435"/>
  <c r="M435" s="1"/>
  <c r="H435"/>
  <c r="D435"/>
  <c r="O434"/>
  <c r="O433" s="1"/>
  <c r="N434"/>
  <c r="I434"/>
  <c r="H434"/>
  <c r="D434"/>
  <c r="K433"/>
  <c r="K432" s="1"/>
  <c r="J433"/>
  <c r="G433"/>
  <c r="F433"/>
  <c r="F432" s="1"/>
  <c r="E433"/>
  <c r="C433"/>
  <c r="B433"/>
  <c r="B432" s="1"/>
  <c r="J432"/>
  <c r="O430"/>
  <c r="N430"/>
  <c r="M430"/>
  <c r="L430"/>
  <c r="H430"/>
  <c r="D430"/>
  <c r="O429"/>
  <c r="O428" s="1"/>
  <c r="N429"/>
  <c r="M429"/>
  <c r="P429" s="1"/>
  <c r="L429"/>
  <c r="H429"/>
  <c r="H428" s="1"/>
  <c r="K428"/>
  <c r="J428"/>
  <c r="I428"/>
  <c r="G428"/>
  <c r="F428"/>
  <c r="E428"/>
  <c r="B428"/>
  <c r="O427"/>
  <c r="N427"/>
  <c r="M427"/>
  <c r="L427"/>
  <c r="H427"/>
  <c r="D427"/>
  <c r="O426"/>
  <c r="N426"/>
  <c r="M426"/>
  <c r="L426"/>
  <c r="L424" s="1"/>
  <c r="H426"/>
  <c r="C426" s="1"/>
  <c r="O425"/>
  <c r="O424" s="1"/>
  <c r="N425"/>
  <c r="M425"/>
  <c r="P425" s="1"/>
  <c r="L425"/>
  <c r="H425"/>
  <c r="H424" s="1"/>
  <c r="D425"/>
  <c r="N424"/>
  <c r="K424"/>
  <c r="K423" s="1"/>
  <c r="J424"/>
  <c r="I424"/>
  <c r="I423" s="1"/>
  <c r="G424"/>
  <c r="F424"/>
  <c r="E424"/>
  <c r="B424"/>
  <c r="J423"/>
  <c r="G423"/>
  <c r="E423"/>
  <c r="B423"/>
  <c r="O421"/>
  <c r="N421"/>
  <c r="M421"/>
  <c r="L421"/>
  <c r="H421"/>
  <c r="D421"/>
  <c r="O420"/>
  <c r="N420"/>
  <c r="P420" s="1"/>
  <c r="M420"/>
  <c r="L420"/>
  <c r="L419" s="1"/>
  <c r="H420"/>
  <c r="D420"/>
  <c r="O419"/>
  <c r="M419"/>
  <c r="K419"/>
  <c r="J419"/>
  <c r="J414" s="1"/>
  <c r="I419"/>
  <c r="H419"/>
  <c r="H414" s="1"/>
  <c r="G419"/>
  <c r="F419"/>
  <c r="F414" s="1"/>
  <c r="E419"/>
  <c r="D419"/>
  <c r="C419"/>
  <c r="B419"/>
  <c r="O418"/>
  <c r="N418"/>
  <c r="P418" s="1"/>
  <c r="M418"/>
  <c r="L418"/>
  <c r="H418"/>
  <c r="D418"/>
  <c r="D391" s="1"/>
  <c r="O417"/>
  <c r="N417"/>
  <c r="M417"/>
  <c r="L417"/>
  <c r="H417"/>
  <c r="C417"/>
  <c r="O416"/>
  <c r="O415" s="1"/>
  <c r="N416"/>
  <c r="N415" s="1"/>
  <c r="M416"/>
  <c r="L416"/>
  <c r="L415" s="1"/>
  <c r="H416"/>
  <c r="D416"/>
  <c r="K415"/>
  <c r="J415"/>
  <c r="I415"/>
  <c r="H415"/>
  <c r="G415"/>
  <c r="F415"/>
  <c r="E415"/>
  <c r="B415"/>
  <c r="O414"/>
  <c r="K414"/>
  <c r="I414"/>
  <c r="G414"/>
  <c r="E414"/>
  <c r="O412"/>
  <c r="O410" s="1"/>
  <c r="N412"/>
  <c r="M412"/>
  <c r="M410" s="1"/>
  <c r="L412"/>
  <c r="H412"/>
  <c r="C412" s="1"/>
  <c r="O411"/>
  <c r="N411"/>
  <c r="N410" s="1"/>
  <c r="M411"/>
  <c r="L411"/>
  <c r="L410" s="1"/>
  <c r="H411"/>
  <c r="D411"/>
  <c r="K410"/>
  <c r="J410"/>
  <c r="I410"/>
  <c r="G410"/>
  <c r="F410"/>
  <c r="F405" s="1"/>
  <c r="E410"/>
  <c r="B410"/>
  <c r="O409"/>
  <c r="N409"/>
  <c r="M409"/>
  <c r="L409"/>
  <c r="H409"/>
  <c r="D409"/>
  <c r="O408"/>
  <c r="N408"/>
  <c r="M408"/>
  <c r="P408" s="1"/>
  <c r="L408"/>
  <c r="H408"/>
  <c r="C408" s="1"/>
  <c r="D408" s="1"/>
  <c r="O407"/>
  <c r="N407"/>
  <c r="N406" s="1"/>
  <c r="M407"/>
  <c r="L407"/>
  <c r="H407"/>
  <c r="D407"/>
  <c r="L406"/>
  <c r="K406"/>
  <c r="J406"/>
  <c r="I406"/>
  <c r="G406"/>
  <c r="F406"/>
  <c r="E406"/>
  <c r="E405" s="1"/>
  <c r="B406"/>
  <c r="K405"/>
  <c r="I405"/>
  <c r="G405"/>
  <c r="B405"/>
  <c r="O403"/>
  <c r="N403"/>
  <c r="M403"/>
  <c r="L403"/>
  <c r="H403"/>
  <c r="D403"/>
  <c r="O402"/>
  <c r="N402"/>
  <c r="N401" s="1"/>
  <c r="M402"/>
  <c r="M401" s="1"/>
  <c r="L402"/>
  <c r="L401" s="1"/>
  <c r="H402"/>
  <c r="D402"/>
  <c r="D401" s="1"/>
  <c r="O401"/>
  <c r="K401"/>
  <c r="J401"/>
  <c r="I401"/>
  <c r="G401"/>
  <c r="F401"/>
  <c r="E401"/>
  <c r="C401"/>
  <c r="B401"/>
  <c r="O400"/>
  <c r="N400"/>
  <c r="L400"/>
  <c r="I400"/>
  <c r="M400" s="1"/>
  <c r="H400"/>
  <c r="D400"/>
  <c r="O399"/>
  <c r="N399"/>
  <c r="L399"/>
  <c r="I399"/>
  <c r="M399" s="1"/>
  <c r="H399"/>
  <c r="O398"/>
  <c r="N398"/>
  <c r="I398"/>
  <c r="L398" s="1"/>
  <c r="H398"/>
  <c r="D398"/>
  <c r="K397"/>
  <c r="K396" s="1"/>
  <c r="J397"/>
  <c r="I397"/>
  <c r="I396" s="1"/>
  <c r="G397"/>
  <c r="F397"/>
  <c r="F396" s="1"/>
  <c r="E397"/>
  <c r="B397"/>
  <c r="J396"/>
  <c r="G396"/>
  <c r="E396"/>
  <c r="B396"/>
  <c r="K394"/>
  <c r="J394"/>
  <c r="L394" s="1"/>
  <c r="I394"/>
  <c r="G394"/>
  <c r="O394" s="1"/>
  <c r="F394"/>
  <c r="E394"/>
  <c r="M394" s="1"/>
  <c r="B394"/>
  <c r="B392" s="1"/>
  <c r="K393"/>
  <c r="K392" s="1"/>
  <c r="J393"/>
  <c r="I393"/>
  <c r="G393"/>
  <c r="F393"/>
  <c r="E393"/>
  <c r="B393"/>
  <c r="F392"/>
  <c r="K391"/>
  <c r="J391"/>
  <c r="G391"/>
  <c r="F391"/>
  <c r="E391"/>
  <c r="C391"/>
  <c r="B391"/>
  <c r="K390"/>
  <c r="J390"/>
  <c r="I390"/>
  <c r="G390"/>
  <c r="F390"/>
  <c r="N390" s="1"/>
  <c r="E390"/>
  <c r="B390"/>
  <c r="K389"/>
  <c r="J389"/>
  <c r="G389"/>
  <c r="F389"/>
  <c r="E389"/>
  <c r="C389"/>
  <c r="B389"/>
  <c r="F388"/>
  <c r="O385"/>
  <c r="N385"/>
  <c r="M385"/>
  <c r="L385"/>
  <c r="H385"/>
  <c r="C385"/>
  <c r="D385" s="1"/>
  <c r="O384"/>
  <c r="N384"/>
  <c r="M384"/>
  <c r="L384"/>
  <c r="H384"/>
  <c r="H383" s="1"/>
  <c r="C384"/>
  <c r="D384" s="1"/>
  <c r="O383"/>
  <c r="N383"/>
  <c r="M383"/>
  <c r="L383"/>
  <c r="K383"/>
  <c r="J383"/>
  <c r="I383"/>
  <c r="G383"/>
  <c r="F383"/>
  <c r="E383"/>
  <c r="B383"/>
  <c r="O382"/>
  <c r="N382"/>
  <c r="M382"/>
  <c r="L382"/>
  <c r="H382"/>
  <c r="D382"/>
  <c r="O381"/>
  <c r="N381"/>
  <c r="M381"/>
  <c r="L381"/>
  <c r="H381"/>
  <c r="C381" s="1"/>
  <c r="D381" s="1"/>
  <c r="O380"/>
  <c r="O379" s="1"/>
  <c r="O378" s="1"/>
  <c r="N380"/>
  <c r="N379" s="1"/>
  <c r="N378" s="1"/>
  <c r="M380"/>
  <c r="L380"/>
  <c r="H380"/>
  <c r="D380"/>
  <c r="L379"/>
  <c r="L378" s="1"/>
  <c r="K379"/>
  <c r="J379"/>
  <c r="J378" s="1"/>
  <c r="I379"/>
  <c r="H379"/>
  <c r="G379"/>
  <c r="F379"/>
  <c r="F378" s="1"/>
  <c r="E379"/>
  <c r="B379"/>
  <c r="B378" s="1"/>
  <c r="K378"/>
  <c r="I378"/>
  <c r="G378"/>
  <c r="E378"/>
  <c r="O376"/>
  <c r="N376"/>
  <c r="M376"/>
  <c r="L376"/>
  <c r="H376"/>
  <c r="D376"/>
  <c r="O375"/>
  <c r="N375"/>
  <c r="N374" s="1"/>
  <c r="M375"/>
  <c r="L375"/>
  <c r="H375"/>
  <c r="C375"/>
  <c r="D375" s="1"/>
  <c r="D374" s="1"/>
  <c r="L374"/>
  <c r="K374"/>
  <c r="J374"/>
  <c r="I374"/>
  <c r="H374"/>
  <c r="G374"/>
  <c r="F374"/>
  <c r="E374"/>
  <c r="B374"/>
  <c r="O373"/>
  <c r="N373"/>
  <c r="M373"/>
  <c r="L373"/>
  <c r="H373"/>
  <c r="D373"/>
  <c r="O372"/>
  <c r="N372"/>
  <c r="P372" s="1"/>
  <c r="M372"/>
  <c r="L372"/>
  <c r="H372"/>
  <c r="D372"/>
  <c r="C372"/>
  <c r="O371"/>
  <c r="N371"/>
  <c r="M371"/>
  <c r="M370" s="1"/>
  <c r="L371"/>
  <c r="H371"/>
  <c r="H370" s="1"/>
  <c r="H369" s="1"/>
  <c r="D371"/>
  <c r="O370"/>
  <c r="K370"/>
  <c r="K369" s="1"/>
  <c r="J370"/>
  <c r="J369" s="1"/>
  <c r="I370"/>
  <c r="I369" s="1"/>
  <c r="G370"/>
  <c r="G369" s="1"/>
  <c r="F370"/>
  <c r="E370"/>
  <c r="E369" s="1"/>
  <c r="C370"/>
  <c r="B370"/>
  <c r="B369" s="1"/>
  <c r="F369"/>
  <c r="O367"/>
  <c r="N367"/>
  <c r="M367"/>
  <c r="L367"/>
  <c r="H367"/>
  <c r="C367"/>
  <c r="D367" s="1"/>
  <c r="O366"/>
  <c r="N366"/>
  <c r="N365" s="1"/>
  <c r="M366"/>
  <c r="L366"/>
  <c r="L365" s="1"/>
  <c r="H366"/>
  <c r="D366"/>
  <c r="M365"/>
  <c r="K365"/>
  <c r="J365"/>
  <c r="I365"/>
  <c r="H365"/>
  <c r="G365"/>
  <c r="G360" s="1"/>
  <c r="F365"/>
  <c r="E365"/>
  <c r="B365"/>
  <c r="O364"/>
  <c r="N364"/>
  <c r="M364"/>
  <c r="L364"/>
  <c r="H364"/>
  <c r="D364"/>
  <c r="O363"/>
  <c r="N363"/>
  <c r="M363"/>
  <c r="L363"/>
  <c r="L361" s="1"/>
  <c r="H363"/>
  <c r="C363" s="1"/>
  <c r="D363" s="1"/>
  <c r="O362"/>
  <c r="O361" s="1"/>
  <c r="N362"/>
  <c r="M362"/>
  <c r="P362" s="1"/>
  <c r="L362"/>
  <c r="H362"/>
  <c r="H361" s="1"/>
  <c r="H360" s="1"/>
  <c r="D362"/>
  <c r="N361"/>
  <c r="K361"/>
  <c r="K360" s="1"/>
  <c r="J361"/>
  <c r="I361"/>
  <c r="G361"/>
  <c r="F361"/>
  <c r="E361"/>
  <c r="B361"/>
  <c r="B360" s="1"/>
  <c r="I360"/>
  <c r="E360"/>
  <c r="O358"/>
  <c r="N358"/>
  <c r="M358"/>
  <c r="P358" s="1"/>
  <c r="L358"/>
  <c r="H358"/>
  <c r="D358"/>
  <c r="O357"/>
  <c r="N357"/>
  <c r="M357"/>
  <c r="L357"/>
  <c r="H357"/>
  <c r="C357" s="1"/>
  <c r="D357" s="1"/>
  <c r="D356" s="1"/>
  <c r="D351" s="1"/>
  <c r="N356"/>
  <c r="L356"/>
  <c r="K356"/>
  <c r="J356"/>
  <c r="I356"/>
  <c r="G356"/>
  <c r="F356"/>
  <c r="E356"/>
  <c r="B356"/>
  <c r="O355"/>
  <c r="N355"/>
  <c r="M355"/>
  <c r="L355"/>
  <c r="H355"/>
  <c r="D355"/>
  <c r="O354"/>
  <c r="N354"/>
  <c r="M354"/>
  <c r="L354"/>
  <c r="H354"/>
  <c r="D354"/>
  <c r="O353"/>
  <c r="O352" s="1"/>
  <c r="N353"/>
  <c r="N352" s="1"/>
  <c r="M353"/>
  <c r="L353"/>
  <c r="H353"/>
  <c r="D353"/>
  <c r="L352"/>
  <c r="L351" s="1"/>
  <c r="K352"/>
  <c r="J352"/>
  <c r="J351" s="1"/>
  <c r="I352"/>
  <c r="H352"/>
  <c r="G352"/>
  <c r="F352"/>
  <c r="F351" s="1"/>
  <c r="E352"/>
  <c r="D352"/>
  <c r="C352"/>
  <c r="B352"/>
  <c r="B351" s="1"/>
  <c r="K351"/>
  <c r="I351"/>
  <c r="G351"/>
  <c r="E351"/>
  <c r="O349"/>
  <c r="N349"/>
  <c r="M349"/>
  <c r="L349"/>
  <c r="H349"/>
  <c r="D349"/>
  <c r="O348"/>
  <c r="N348"/>
  <c r="N347" s="1"/>
  <c r="M348"/>
  <c r="M347" s="1"/>
  <c r="L348"/>
  <c r="L347" s="1"/>
  <c r="H348"/>
  <c r="D348"/>
  <c r="O347"/>
  <c r="K347"/>
  <c r="J347"/>
  <c r="I347"/>
  <c r="D347"/>
  <c r="C347"/>
  <c r="B347"/>
  <c r="O346"/>
  <c r="N346"/>
  <c r="M346"/>
  <c r="L346"/>
  <c r="H346"/>
  <c r="D346"/>
  <c r="O345"/>
  <c r="O343" s="1"/>
  <c r="O342" s="1"/>
  <c r="N345"/>
  <c r="M345"/>
  <c r="L345"/>
  <c r="H345"/>
  <c r="C345"/>
  <c r="D345" s="1"/>
  <c r="O344"/>
  <c r="N344"/>
  <c r="M344"/>
  <c r="L344"/>
  <c r="H344"/>
  <c r="D344"/>
  <c r="K343"/>
  <c r="K342" s="1"/>
  <c r="J343"/>
  <c r="I343"/>
  <c r="I342" s="1"/>
  <c r="G343"/>
  <c r="F343"/>
  <c r="E343"/>
  <c r="C343"/>
  <c r="B343"/>
  <c r="J342"/>
  <c r="G342"/>
  <c r="F342"/>
  <c r="E342"/>
  <c r="C342"/>
  <c r="B342"/>
  <c r="O340"/>
  <c r="O338" s="1"/>
  <c r="N340"/>
  <c r="M340"/>
  <c r="L340"/>
  <c r="H340"/>
  <c r="C340"/>
  <c r="D340" s="1"/>
  <c r="O339"/>
  <c r="N339"/>
  <c r="M339"/>
  <c r="L339"/>
  <c r="H339"/>
  <c r="D339"/>
  <c r="K338"/>
  <c r="K333" s="1"/>
  <c r="J338"/>
  <c r="I338"/>
  <c r="I333" s="1"/>
  <c r="G338"/>
  <c r="F338"/>
  <c r="E338"/>
  <c r="C338"/>
  <c r="B338"/>
  <c r="O337"/>
  <c r="N337"/>
  <c r="M337"/>
  <c r="L337"/>
  <c r="H337"/>
  <c r="D337"/>
  <c r="O336"/>
  <c r="N336"/>
  <c r="M336"/>
  <c r="L336"/>
  <c r="H336"/>
  <c r="C336" s="1"/>
  <c r="D336" s="1"/>
  <c r="O335"/>
  <c r="O334" s="1"/>
  <c r="N335"/>
  <c r="N334" s="1"/>
  <c r="M335"/>
  <c r="L335"/>
  <c r="H335"/>
  <c r="D335"/>
  <c r="L334"/>
  <c r="K334"/>
  <c r="J334"/>
  <c r="J333" s="1"/>
  <c r="I334"/>
  <c r="H334"/>
  <c r="G334"/>
  <c r="F334"/>
  <c r="E334"/>
  <c r="B334"/>
  <c r="B333" s="1"/>
  <c r="F333"/>
  <c r="O331"/>
  <c r="N331"/>
  <c r="M331"/>
  <c r="L331"/>
  <c r="H331"/>
  <c r="C331" s="1"/>
  <c r="D331" s="1"/>
  <c r="O330"/>
  <c r="O329" s="1"/>
  <c r="N330"/>
  <c r="N329" s="1"/>
  <c r="M330"/>
  <c r="L330"/>
  <c r="H330"/>
  <c r="D330"/>
  <c r="L329"/>
  <c r="K329"/>
  <c r="J329"/>
  <c r="I329"/>
  <c r="H329"/>
  <c r="G329"/>
  <c r="F329"/>
  <c r="E329"/>
  <c r="B329"/>
  <c r="O328"/>
  <c r="N328"/>
  <c r="M328"/>
  <c r="L328"/>
  <c r="H328"/>
  <c r="D328"/>
  <c r="O327"/>
  <c r="N327"/>
  <c r="P327" s="1"/>
  <c r="M327"/>
  <c r="L327"/>
  <c r="H327"/>
  <c r="D327"/>
  <c r="C327"/>
  <c r="O326"/>
  <c r="N326"/>
  <c r="M326"/>
  <c r="M325" s="1"/>
  <c r="L326"/>
  <c r="H326"/>
  <c r="H325" s="1"/>
  <c r="H324" s="1"/>
  <c r="D326"/>
  <c r="O325"/>
  <c r="K325"/>
  <c r="K324" s="1"/>
  <c r="J325"/>
  <c r="J324" s="1"/>
  <c r="I325"/>
  <c r="I324" s="1"/>
  <c r="G325"/>
  <c r="G324" s="1"/>
  <c r="F325"/>
  <c r="E325"/>
  <c r="E324" s="1"/>
  <c r="C325"/>
  <c r="B325"/>
  <c r="B324" s="1"/>
  <c r="F324"/>
  <c r="O322"/>
  <c r="N322"/>
  <c r="M322"/>
  <c r="L322"/>
  <c r="H322"/>
  <c r="D322"/>
  <c r="O321"/>
  <c r="O320" s="1"/>
  <c r="N321"/>
  <c r="N320" s="1"/>
  <c r="M321"/>
  <c r="L321"/>
  <c r="H321"/>
  <c r="D321"/>
  <c r="L320"/>
  <c r="K320"/>
  <c r="J320"/>
  <c r="I320"/>
  <c r="H320"/>
  <c r="G320"/>
  <c r="F320"/>
  <c r="E320"/>
  <c r="D320"/>
  <c r="C320"/>
  <c r="B320"/>
  <c r="O319"/>
  <c r="N319"/>
  <c r="M319"/>
  <c r="L319"/>
  <c r="H319"/>
  <c r="D319"/>
  <c r="O318"/>
  <c r="N318"/>
  <c r="P318" s="1"/>
  <c r="M318"/>
  <c r="L318"/>
  <c r="H318"/>
  <c r="D318"/>
  <c r="C318"/>
  <c r="O317"/>
  <c r="N317"/>
  <c r="M317"/>
  <c r="M316" s="1"/>
  <c r="L317"/>
  <c r="H317"/>
  <c r="H316" s="1"/>
  <c r="H315" s="1"/>
  <c r="D317"/>
  <c r="O316"/>
  <c r="K316"/>
  <c r="K315" s="1"/>
  <c r="J316"/>
  <c r="J315" s="1"/>
  <c r="I316"/>
  <c r="I315" s="1"/>
  <c r="G316"/>
  <c r="G315" s="1"/>
  <c r="F316"/>
  <c r="E316"/>
  <c r="E315" s="1"/>
  <c r="C316"/>
  <c r="B316"/>
  <c r="B315" s="1"/>
  <c r="F315"/>
  <c r="C315"/>
  <c r="O313"/>
  <c r="N313"/>
  <c r="M313"/>
  <c r="L313"/>
  <c r="H313"/>
  <c r="C313" s="1"/>
  <c r="O312"/>
  <c r="N312"/>
  <c r="N311" s="1"/>
  <c r="M312"/>
  <c r="L312"/>
  <c r="L311" s="1"/>
  <c r="H312"/>
  <c r="D312"/>
  <c r="M311"/>
  <c r="K311"/>
  <c r="J311"/>
  <c r="I311"/>
  <c r="H311"/>
  <c r="G311"/>
  <c r="F311"/>
  <c r="F306" s="1"/>
  <c r="E311"/>
  <c r="B311"/>
  <c r="O310"/>
  <c r="N310"/>
  <c r="M310"/>
  <c r="L310"/>
  <c r="H310"/>
  <c r="D310"/>
  <c r="O309"/>
  <c r="N309"/>
  <c r="M309"/>
  <c r="P309" s="1"/>
  <c r="L309"/>
  <c r="H309"/>
  <c r="C309" s="1"/>
  <c r="D309" s="1"/>
  <c r="O308"/>
  <c r="N308"/>
  <c r="N307" s="1"/>
  <c r="M308"/>
  <c r="L308"/>
  <c r="H308"/>
  <c r="D308"/>
  <c r="L307"/>
  <c r="K307"/>
  <c r="J307"/>
  <c r="I307"/>
  <c r="G307"/>
  <c r="F307"/>
  <c r="E307"/>
  <c r="E306" s="1"/>
  <c r="B307"/>
  <c r="K306"/>
  <c r="I306"/>
  <c r="G306"/>
  <c r="B306"/>
  <c r="O304"/>
  <c r="N304"/>
  <c r="M304"/>
  <c r="L304"/>
  <c r="L302" s="1"/>
  <c r="H304"/>
  <c r="C304" s="1"/>
  <c r="O303"/>
  <c r="O302" s="1"/>
  <c r="N303"/>
  <c r="M303"/>
  <c r="P303" s="1"/>
  <c r="L303"/>
  <c r="H303"/>
  <c r="H302" s="1"/>
  <c r="D303"/>
  <c r="N302"/>
  <c r="K302"/>
  <c r="J302"/>
  <c r="I302"/>
  <c r="G302"/>
  <c r="F302"/>
  <c r="E302"/>
  <c r="B302"/>
  <c r="O301"/>
  <c r="N301"/>
  <c r="M301"/>
  <c r="L301"/>
  <c r="H301"/>
  <c r="D301"/>
  <c r="O300"/>
  <c r="N300"/>
  <c r="P300" s="1"/>
  <c r="M300"/>
  <c r="L300"/>
  <c r="H300"/>
  <c r="D300"/>
  <c r="C300"/>
  <c r="O299"/>
  <c r="N299"/>
  <c r="M299"/>
  <c r="M298" s="1"/>
  <c r="L299"/>
  <c r="H299"/>
  <c r="H298" s="1"/>
  <c r="H297" s="1"/>
  <c r="D299"/>
  <c r="O298"/>
  <c r="K298"/>
  <c r="J298"/>
  <c r="J297" s="1"/>
  <c r="I298"/>
  <c r="G298"/>
  <c r="G297" s="1"/>
  <c r="F298"/>
  <c r="E298"/>
  <c r="E297" s="1"/>
  <c r="C298"/>
  <c r="B298"/>
  <c r="B297" s="1"/>
  <c r="F297"/>
  <c r="O295"/>
  <c r="N295"/>
  <c r="M295"/>
  <c r="L295"/>
  <c r="H295"/>
  <c r="C295"/>
  <c r="D295" s="1"/>
  <c r="O294"/>
  <c r="N294"/>
  <c r="N293" s="1"/>
  <c r="M294"/>
  <c r="L294"/>
  <c r="L293" s="1"/>
  <c r="H294"/>
  <c r="D294"/>
  <c r="M293"/>
  <c r="K293"/>
  <c r="J293"/>
  <c r="I293"/>
  <c r="H293"/>
  <c r="G293"/>
  <c r="F293"/>
  <c r="E293"/>
  <c r="B293"/>
  <c r="O292"/>
  <c r="N292"/>
  <c r="M292"/>
  <c r="L292"/>
  <c r="H292"/>
  <c r="D292"/>
  <c r="O291"/>
  <c r="N291"/>
  <c r="M291"/>
  <c r="L291"/>
  <c r="L289" s="1"/>
  <c r="H291"/>
  <c r="C291" s="1"/>
  <c r="O290"/>
  <c r="O289" s="1"/>
  <c r="N290"/>
  <c r="M290"/>
  <c r="P290" s="1"/>
  <c r="L290"/>
  <c r="H290"/>
  <c r="H289" s="1"/>
  <c r="H288" s="1"/>
  <c r="D290"/>
  <c r="N289"/>
  <c r="K289"/>
  <c r="K288" s="1"/>
  <c r="J289"/>
  <c r="I289"/>
  <c r="I288" s="1"/>
  <c r="G289"/>
  <c r="F289"/>
  <c r="E289"/>
  <c r="B289"/>
  <c r="B288" s="1"/>
  <c r="J288"/>
  <c r="F288"/>
  <c r="O286"/>
  <c r="N286"/>
  <c r="M286"/>
  <c r="L286"/>
  <c r="H286"/>
  <c r="D286"/>
  <c r="O285"/>
  <c r="O284" s="1"/>
  <c r="N285"/>
  <c r="N284" s="1"/>
  <c r="M285"/>
  <c r="M284" s="1"/>
  <c r="L285"/>
  <c r="H285"/>
  <c r="C285"/>
  <c r="D285" s="1"/>
  <c r="D284" s="1"/>
  <c r="L284"/>
  <c r="K284"/>
  <c r="J284"/>
  <c r="J279" s="1"/>
  <c r="I284"/>
  <c r="H284"/>
  <c r="G284"/>
  <c r="F284"/>
  <c r="E284"/>
  <c r="B284"/>
  <c r="B279" s="1"/>
  <c r="O283"/>
  <c r="N283"/>
  <c r="M283"/>
  <c r="L283"/>
  <c r="H283"/>
  <c r="D283"/>
  <c r="O282"/>
  <c r="N282"/>
  <c r="N280" s="1"/>
  <c r="M282"/>
  <c r="L282"/>
  <c r="L280" s="1"/>
  <c r="L279" s="1"/>
  <c r="H282"/>
  <c r="D282"/>
  <c r="D280" s="1"/>
  <c r="D279" s="1"/>
  <c r="C282"/>
  <c r="O281"/>
  <c r="N281"/>
  <c r="M281"/>
  <c r="M280" s="1"/>
  <c r="L281"/>
  <c r="H281"/>
  <c r="H280" s="1"/>
  <c r="H279" s="1"/>
  <c r="D281"/>
  <c r="O280"/>
  <c r="K280"/>
  <c r="J280"/>
  <c r="I280"/>
  <c r="I279" s="1"/>
  <c r="G280"/>
  <c r="F280"/>
  <c r="E280"/>
  <c r="C280"/>
  <c r="B280"/>
  <c r="K279"/>
  <c r="G279"/>
  <c r="E279"/>
  <c r="K277"/>
  <c r="K275" s="1"/>
  <c r="J277"/>
  <c r="I277"/>
  <c r="L277" s="1"/>
  <c r="G277"/>
  <c r="F277"/>
  <c r="N277" s="1"/>
  <c r="E277"/>
  <c r="B277"/>
  <c r="K276"/>
  <c r="J276"/>
  <c r="I276"/>
  <c r="G276"/>
  <c r="F276"/>
  <c r="E276"/>
  <c r="B276"/>
  <c r="B275" s="1"/>
  <c r="J275"/>
  <c r="G275"/>
  <c r="E275"/>
  <c r="K274"/>
  <c r="J274"/>
  <c r="I274"/>
  <c r="L274" s="1"/>
  <c r="G274"/>
  <c r="F274"/>
  <c r="N274" s="1"/>
  <c r="E274"/>
  <c r="D274"/>
  <c r="C274"/>
  <c r="B274"/>
  <c r="K273"/>
  <c r="J273"/>
  <c r="I273"/>
  <c r="G273"/>
  <c r="O273" s="1"/>
  <c r="F273"/>
  <c r="E273"/>
  <c r="M273" s="1"/>
  <c r="B273"/>
  <c r="K272"/>
  <c r="J272"/>
  <c r="I272"/>
  <c r="I271" s="1"/>
  <c r="G272"/>
  <c r="F272"/>
  <c r="E272"/>
  <c r="C272"/>
  <c r="B272"/>
  <c r="K271"/>
  <c r="F271"/>
  <c r="O268"/>
  <c r="N268"/>
  <c r="M268"/>
  <c r="L268"/>
  <c r="H268"/>
  <c r="C268" s="1"/>
  <c r="D268" s="1"/>
  <c r="D266" s="1"/>
  <c r="O267"/>
  <c r="N267"/>
  <c r="M267"/>
  <c r="L267"/>
  <c r="L266" s="1"/>
  <c r="H267"/>
  <c r="D267"/>
  <c r="M266"/>
  <c r="K266"/>
  <c r="J266"/>
  <c r="I266"/>
  <c r="H266"/>
  <c r="G266"/>
  <c r="F266"/>
  <c r="E266"/>
  <c r="B266"/>
  <c r="O265"/>
  <c r="N265"/>
  <c r="P265" s="1"/>
  <c r="M265"/>
  <c r="L265"/>
  <c r="H265"/>
  <c r="D265"/>
  <c r="O264"/>
  <c r="N264"/>
  <c r="M264"/>
  <c r="L264"/>
  <c r="H264"/>
  <c r="C264"/>
  <c r="D264" s="1"/>
  <c r="O263"/>
  <c r="O262" s="1"/>
  <c r="N263"/>
  <c r="N262" s="1"/>
  <c r="M263"/>
  <c r="L263"/>
  <c r="L262" s="1"/>
  <c r="H263"/>
  <c r="D263"/>
  <c r="K262"/>
  <c r="K261" s="1"/>
  <c r="J262"/>
  <c r="I262"/>
  <c r="H262"/>
  <c r="G262"/>
  <c r="G261" s="1"/>
  <c r="F262"/>
  <c r="E262"/>
  <c r="B262"/>
  <c r="B261" s="1"/>
  <c r="I261"/>
  <c r="E261"/>
  <c r="O259"/>
  <c r="N259"/>
  <c r="M259"/>
  <c r="L259"/>
  <c r="H259"/>
  <c r="D259"/>
  <c r="O258"/>
  <c r="O257" s="1"/>
  <c r="N258"/>
  <c r="M258"/>
  <c r="L258"/>
  <c r="L257" s="1"/>
  <c r="H258"/>
  <c r="C258"/>
  <c r="D258" s="1"/>
  <c r="D257" s="1"/>
  <c r="M257"/>
  <c r="K257"/>
  <c r="J257"/>
  <c r="I257"/>
  <c r="H257"/>
  <c r="G257"/>
  <c r="F257"/>
  <c r="E257"/>
  <c r="C257"/>
  <c r="B257"/>
  <c r="O256"/>
  <c r="N256"/>
  <c r="M256"/>
  <c r="P256" s="1"/>
  <c r="L256"/>
  <c r="H256"/>
  <c r="D256"/>
  <c r="O255"/>
  <c r="N255"/>
  <c r="M255"/>
  <c r="L255"/>
  <c r="H255"/>
  <c r="C255" s="1"/>
  <c r="D255" s="1"/>
  <c r="D253" s="1"/>
  <c r="O254"/>
  <c r="N254"/>
  <c r="M254"/>
  <c r="L254"/>
  <c r="L253" s="1"/>
  <c r="H254"/>
  <c r="D254"/>
  <c r="M253"/>
  <c r="M252" s="1"/>
  <c r="K253"/>
  <c r="J253"/>
  <c r="I253"/>
  <c r="H253"/>
  <c r="H252" s="1"/>
  <c r="G253"/>
  <c r="F253"/>
  <c r="E253"/>
  <c r="B253"/>
  <c r="B252" s="1"/>
  <c r="J252"/>
  <c r="F252"/>
  <c r="O250"/>
  <c r="N250"/>
  <c r="M250"/>
  <c r="L250"/>
  <c r="H250"/>
  <c r="D250"/>
  <c r="O249"/>
  <c r="N249"/>
  <c r="M249"/>
  <c r="L249"/>
  <c r="H249"/>
  <c r="H248" s="1"/>
  <c r="O248"/>
  <c r="N248"/>
  <c r="M248"/>
  <c r="L248"/>
  <c r="K248"/>
  <c r="J248"/>
  <c r="I248"/>
  <c r="G248"/>
  <c r="F248"/>
  <c r="F243" s="1"/>
  <c r="E248"/>
  <c r="B248"/>
  <c r="O247"/>
  <c r="N247"/>
  <c r="P247" s="1"/>
  <c r="M247"/>
  <c r="L247"/>
  <c r="H247"/>
  <c r="D247"/>
  <c r="O246"/>
  <c r="N246"/>
  <c r="M246"/>
  <c r="L246"/>
  <c r="H246"/>
  <c r="C246"/>
  <c r="D246" s="1"/>
  <c r="O245"/>
  <c r="O244" s="1"/>
  <c r="N245"/>
  <c r="N244" s="1"/>
  <c r="N243" s="1"/>
  <c r="M245"/>
  <c r="L245"/>
  <c r="L244" s="1"/>
  <c r="L243" s="1"/>
  <c r="H245"/>
  <c r="D245"/>
  <c r="M244"/>
  <c r="K244"/>
  <c r="K243" s="1"/>
  <c r="J244"/>
  <c r="I244"/>
  <c r="H244"/>
  <c r="G244"/>
  <c r="G243" s="1"/>
  <c r="F244"/>
  <c r="E244"/>
  <c r="E243" s="1"/>
  <c r="B244"/>
  <c r="M243"/>
  <c r="I243"/>
  <c r="O241"/>
  <c r="O239" s="1"/>
  <c r="N241"/>
  <c r="M241"/>
  <c r="P241" s="1"/>
  <c r="L241"/>
  <c r="H241"/>
  <c r="C241" s="1"/>
  <c r="O240"/>
  <c r="N240"/>
  <c r="M240"/>
  <c r="L240"/>
  <c r="H240"/>
  <c r="D240"/>
  <c r="N239"/>
  <c r="L239"/>
  <c r="K239"/>
  <c r="J239"/>
  <c r="I239"/>
  <c r="G239"/>
  <c r="F239"/>
  <c r="E239"/>
  <c r="B239"/>
  <c r="O238"/>
  <c r="N238"/>
  <c r="M238"/>
  <c r="L238"/>
  <c r="H238"/>
  <c r="D238"/>
  <c r="O237"/>
  <c r="O235" s="1"/>
  <c r="O234" s="1"/>
  <c r="N237"/>
  <c r="M237"/>
  <c r="L237"/>
  <c r="H237"/>
  <c r="C237"/>
  <c r="D237" s="1"/>
  <c r="D235" s="1"/>
  <c r="O236"/>
  <c r="N236"/>
  <c r="M236"/>
  <c r="L236"/>
  <c r="H236"/>
  <c r="D236"/>
  <c r="M235"/>
  <c r="K235"/>
  <c r="J235"/>
  <c r="I235"/>
  <c r="G235"/>
  <c r="F235"/>
  <c r="E235"/>
  <c r="B235"/>
  <c r="B234" s="1"/>
  <c r="K234"/>
  <c r="J234"/>
  <c r="I234"/>
  <c r="G234"/>
  <c r="F234"/>
  <c r="E234"/>
  <c r="O232"/>
  <c r="O230" s="1"/>
  <c r="N232"/>
  <c r="M232"/>
  <c r="L232"/>
  <c r="H232"/>
  <c r="C232"/>
  <c r="D232" s="1"/>
  <c r="D230" s="1"/>
  <c r="O231"/>
  <c r="N231"/>
  <c r="M231"/>
  <c r="L231"/>
  <c r="H231"/>
  <c r="D231"/>
  <c r="M230"/>
  <c r="K230"/>
  <c r="J230"/>
  <c r="I230"/>
  <c r="G230"/>
  <c r="F230"/>
  <c r="E230"/>
  <c r="E225" s="1"/>
  <c r="B230"/>
  <c r="O229"/>
  <c r="N229"/>
  <c r="M229"/>
  <c r="L229"/>
  <c r="H229"/>
  <c r="D229"/>
  <c r="O228"/>
  <c r="N228"/>
  <c r="M228"/>
  <c r="L228"/>
  <c r="H228"/>
  <c r="C228" s="1"/>
  <c r="N227"/>
  <c r="N226" s="1"/>
  <c r="M227"/>
  <c r="K227"/>
  <c r="O227" s="1"/>
  <c r="O226" s="1"/>
  <c r="H227"/>
  <c r="D227"/>
  <c r="D218" s="1"/>
  <c r="M226"/>
  <c r="J226"/>
  <c r="J225" s="1"/>
  <c r="I226"/>
  <c r="H226"/>
  <c r="G226"/>
  <c r="F226"/>
  <c r="F225" s="1"/>
  <c r="E226"/>
  <c r="B226"/>
  <c r="I225"/>
  <c r="G225"/>
  <c r="B225"/>
  <c r="K223"/>
  <c r="J223"/>
  <c r="I223"/>
  <c r="G223"/>
  <c r="O223" s="1"/>
  <c r="F223"/>
  <c r="E223"/>
  <c r="H223" s="1"/>
  <c r="B223"/>
  <c r="K222"/>
  <c r="K221" s="1"/>
  <c r="J222"/>
  <c r="I222"/>
  <c r="I221" s="1"/>
  <c r="G222"/>
  <c r="F222"/>
  <c r="F221" s="1"/>
  <c r="E222"/>
  <c r="B222"/>
  <c r="B221" s="1"/>
  <c r="J221"/>
  <c r="G221"/>
  <c r="E221"/>
  <c r="K220"/>
  <c r="J220"/>
  <c r="I220"/>
  <c r="G220"/>
  <c r="F220"/>
  <c r="E220"/>
  <c r="C220"/>
  <c r="B220"/>
  <c r="K219"/>
  <c r="J219"/>
  <c r="I219"/>
  <c r="L219" s="1"/>
  <c r="G219"/>
  <c r="F219"/>
  <c r="N219" s="1"/>
  <c r="E219"/>
  <c r="B219"/>
  <c r="B217" s="1"/>
  <c r="B216" s="1"/>
  <c r="J218"/>
  <c r="I218"/>
  <c r="G218"/>
  <c r="G217" s="1"/>
  <c r="G216" s="1"/>
  <c r="F218"/>
  <c r="E218"/>
  <c r="C218"/>
  <c r="B218"/>
  <c r="J217"/>
  <c r="E217"/>
  <c r="J216"/>
  <c r="E216"/>
  <c r="O214"/>
  <c r="O212" s="1"/>
  <c r="O207" s="1"/>
  <c r="N214"/>
  <c r="M214"/>
  <c r="L214"/>
  <c r="H214"/>
  <c r="C214"/>
  <c r="D214" s="1"/>
  <c r="D212" s="1"/>
  <c r="O213"/>
  <c r="N213"/>
  <c r="M213"/>
  <c r="L213"/>
  <c r="H213"/>
  <c r="D213"/>
  <c r="M212"/>
  <c r="M207" s="1"/>
  <c r="K212"/>
  <c r="J212"/>
  <c r="I212"/>
  <c r="H212"/>
  <c r="G212"/>
  <c r="F212"/>
  <c r="E212"/>
  <c r="B212"/>
  <c r="B207" s="1"/>
  <c r="O211"/>
  <c r="N211"/>
  <c r="P211" s="1"/>
  <c r="M211"/>
  <c r="L211"/>
  <c r="H211"/>
  <c r="D211"/>
  <c r="O210"/>
  <c r="N210"/>
  <c r="M210"/>
  <c r="L210"/>
  <c r="H210"/>
  <c r="C210"/>
  <c r="D210" s="1"/>
  <c r="O209"/>
  <c r="N209"/>
  <c r="M209"/>
  <c r="L209"/>
  <c r="H209"/>
  <c r="D209"/>
  <c r="O208"/>
  <c r="N208"/>
  <c r="M208"/>
  <c r="L208"/>
  <c r="K208"/>
  <c r="J208"/>
  <c r="J207" s="1"/>
  <c r="I208"/>
  <c r="H208"/>
  <c r="H207" s="1"/>
  <c r="G208"/>
  <c r="F208"/>
  <c r="F207" s="1"/>
  <c r="E208"/>
  <c r="C208"/>
  <c r="B208"/>
  <c r="K207"/>
  <c r="I207"/>
  <c r="G207"/>
  <c r="E207"/>
  <c r="O205"/>
  <c r="N205"/>
  <c r="M205"/>
  <c r="L205"/>
  <c r="H205"/>
  <c r="D205"/>
  <c r="O204"/>
  <c r="O203" s="1"/>
  <c r="N204"/>
  <c r="M204"/>
  <c r="P204" s="1"/>
  <c r="L204"/>
  <c r="H204"/>
  <c r="H203" s="1"/>
  <c r="H198" s="1"/>
  <c r="D204"/>
  <c r="N203"/>
  <c r="L203"/>
  <c r="K203"/>
  <c r="J203"/>
  <c r="I203"/>
  <c r="G203"/>
  <c r="F203"/>
  <c r="F198" s="1"/>
  <c r="E203"/>
  <c r="D203"/>
  <c r="C203"/>
  <c r="B203"/>
  <c r="O202"/>
  <c r="N202"/>
  <c r="M202"/>
  <c r="L202"/>
  <c r="H202"/>
  <c r="D202"/>
  <c r="O201"/>
  <c r="N201"/>
  <c r="M201"/>
  <c r="L201"/>
  <c r="H201"/>
  <c r="C201"/>
  <c r="D201" s="1"/>
  <c r="O200"/>
  <c r="N200"/>
  <c r="P200" s="1"/>
  <c r="M200"/>
  <c r="L200"/>
  <c r="L199" s="1"/>
  <c r="L198" s="1"/>
  <c r="H200"/>
  <c r="D200"/>
  <c r="M199"/>
  <c r="K199"/>
  <c r="J199"/>
  <c r="I199"/>
  <c r="H199"/>
  <c r="G199"/>
  <c r="F199"/>
  <c r="E199"/>
  <c r="B199"/>
  <c r="J198"/>
  <c r="B198"/>
  <c r="O196"/>
  <c r="N196"/>
  <c r="P196" s="1"/>
  <c r="M196"/>
  <c r="L196"/>
  <c r="H196"/>
  <c r="D196"/>
  <c r="D194" s="1"/>
  <c r="C196"/>
  <c r="O195"/>
  <c r="N195"/>
  <c r="M195"/>
  <c r="M194" s="1"/>
  <c r="L195"/>
  <c r="H195"/>
  <c r="H194" s="1"/>
  <c r="D195"/>
  <c r="O194"/>
  <c r="K194"/>
  <c r="J194"/>
  <c r="I194"/>
  <c r="G194"/>
  <c r="F194"/>
  <c r="E194"/>
  <c r="C194"/>
  <c r="B194"/>
  <c r="O193"/>
  <c r="N193"/>
  <c r="I193"/>
  <c r="M193" s="1"/>
  <c r="H193"/>
  <c r="D193"/>
  <c r="O192"/>
  <c r="N192"/>
  <c r="M192"/>
  <c r="L192"/>
  <c r="H192"/>
  <c r="C192"/>
  <c r="D192" s="1"/>
  <c r="O191"/>
  <c r="N191"/>
  <c r="I191"/>
  <c r="M191" s="1"/>
  <c r="H191"/>
  <c r="D191"/>
  <c r="N190"/>
  <c r="K190"/>
  <c r="K189" s="1"/>
  <c r="J190"/>
  <c r="J189" s="1"/>
  <c r="G190"/>
  <c r="G189" s="1"/>
  <c r="F190"/>
  <c r="E190"/>
  <c r="E189" s="1"/>
  <c r="B190"/>
  <c r="B189" s="1"/>
  <c r="F189"/>
  <c r="O187"/>
  <c r="N187"/>
  <c r="M187"/>
  <c r="L187"/>
  <c r="H187"/>
  <c r="C187" s="1"/>
  <c r="D187" s="1"/>
  <c r="O186"/>
  <c r="N186"/>
  <c r="M186"/>
  <c r="L186"/>
  <c r="H186"/>
  <c r="C186" s="1"/>
  <c r="O185"/>
  <c r="N185"/>
  <c r="M185"/>
  <c r="L185"/>
  <c r="K185"/>
  <c r="J185"/>
  <c r="I185"/>
  <c r="G185"/>
  <c r="F185"/>
  <c r="E185"/>
  <c r="B185"/>
  <c r="O184"/>
  <c r="N184"/>
  <c r="I184"/>
  <c r="M184" s="1"/>
  <c r="H184"/>
  <c r="D184"/>
  <c r="O183"/>
  <c r="N183"/>
  <c r="I183"/>
  <c r="M183" s="1"/>
  <c r="H183"/>
  <c r="C183" s="1"/>
  <c r="O182"/>
  <c r="O181" s="1"/>
  <c r="O180" s="1"/>
  <c r="J182"/>
  <c r="N182" s="1"/>
  <c r="I182"/>
  <c r="M182" s="1"/>
  <c r="H182"/>
  <c r="D182"/>
  <c r="K181"/>
  <c r="J181"/>
  <c r="G181"/>
  <c r="F181"/>
  <c r="E181"/>
  <c r="E180" s="1"/>
  <c r="B181"/>
  <c r="K180"/>
  <c r="G180"/>
  <c r="B180"/>
  <c r="O178"/>
  <c r="N178"/>
  <c r="P178" s="1"/>
  <c r="M178"/>
  <c r="L178"/>
  <c r="L176" s="1"/>
  <c r="H178"/>
  <c r="D178"/>
  <c r="C178"/>
  <c r="O177"/>
  <c r="O176" s="1"/>
  <c r="N177"/>
  <c r="M177"/>
  <c r="M176" s="1"/>
  <c r="L177"/>
  <c r="H177"/>
  <c r="C177" s="1"/>
  <c r="D177" s="1"/>
  <c r="D176" s="1"/>
  <c r="N176"/>
  <c r="K176"/>
  <c r="J176"/>
  <c r="I176"/>
  <c r="G176"/>
  <c r="F176"/>
  <c r="E176"/>
  <c r="E171" s="1"/>
  <c r="B176"/>
  <c r="O175"/>
  <c r="O172" s="1"/>
  <c r="N175"/>
  <c r="I175"/>
  <c r="L175" s="1"/>
  <c r="H175"/>
  <c r="D175"/>
  <c r="O174"/>
  <c r="N174"/>
  <c r="I174"/>
  <c r="L174" s="1"/>
  <c r="H174"/>
  <c r="C174"/>
  <c r="D174" s="1"/>
  <c r="D172" s="1"/>
  <c r="D171" s="1"/>
  <c r="O173"/>
  <c r="N173"/>
  <c r="I173"/>
  <c r="M173" s="1"/>
  <c r="H173"/>
  <c r="D173"/>
  <c r="K172"/>
  <c r="J172"/>
  <c r="I172"/>
  <c r="I171" s="1"/>
  <c r="G172"/>
  <c r="F172"/>
  <c r="E172"/>
  <c r="C172"/>
  <c r="B172"/>
  <c r="K171"/>
  <c r="G171"/>
  <c r="O169"/>
  <c r="N169"/>
  <c r="M169"/>
  <c r="P169" s="1"/>
  <c r="L169"/>
  <c r="H169"/>
  <c r="C169" s="1"/>
  <c r="O168"/>
  <c r="N168"/>
  <c r="N167" s="1"/>
  <c r="M168"/>
  <c r="L168"/>
  <c r="H168"/>
  <c r="D168"/>
  <c r="L167"/>
  <c r="K167"/>
  <c r="J167"/>
  <c r="I167"/>
  <c r="H167"/>
  <c r="G167"/>
  <c r="F167"/>
  <c r="E167"/>
  <c r="B167"/>
  <c r="O166"/>
  <c r="N166"/>
  <c r="M166"/>
  <c r="L166"/>
  <c r="H166"/>
  <c r="D166"/>
  <c r="O165"/>
  <c r="N165"/>
  <c r="M165"/>
  <c r="L165"/>
  <c r="H165"/>
  <c r="C165"/>
  <c r="D165" s="1"/>
  <c r="O164"/>
  <c r="N164"/>
  <c r="P164" s="1"/>
  <c r="M164"/>
  <c r="L164"/>
  <c r="H164"/>
  <c r="D164"/>
  <c r="L163"/>
  <c r="L162" s="1"/>
  <c r="K163"/>
  <c r="J163"/>
  <c r="J162" s="1"/>
  <c r="I163"/>
  <c r="H163"/>
  <c r="H162" s="1"/>
  <c r="G163"/>
  <c r="F163"/>
  <c r="F162" s="1"/>
  <c r="E163"/>
  <c r="B163"/>
  <c r="B162" s="1"/>
  <c r="K162"/>
  <c r="I162"/>
  <c r="G162"/>
  <c r="E162"/>
  <c r="K160"/>
  <c r="J160"/>
  <c r="I160"/>
  <c r="G160"/>
  <c r="F160"/>
  <c r="E160"/>
  <c r="B160"/>
  <c r="K159"/>
  <c r="J159"/>
  <c r="J158" s="1"/>
  <c r="I159"/>
  <c r="G159"/>
  <c r="O159" s="1"/>
  <c r="F159"/>
  <c r="E159"/>
  <c r="H159" s="1"/>
  <c r="B159"/>
  <c r="K158"/>
  <c r="I158"/>
  <c r="F158"/>
  <c r="B158"/>
  <c r="K157"/>
  <c r="J157"/>
  <c r="G157"/>
  <c r="O157" s="1"/>
  <c r="F157"/>
  <c r="E157"/>
  <c r="H157" s="1"/>
  <c r="C157"/>
  <c r="B157"/>
  <c r="K156"/>
  <c r="J156"/>
  <c r="J154" s="1"/>
  <c r="J153" s="1"/>
  <c r="G156"/>
  <c r="F156"/>
  <c r="E156"/>
  <c r="E154" s="1"/>
  <c r="B156"/>
  <c r="K155"/>
  <c r="K154" s="1"/>
  <c r="K153" s="1"/>
  <c r="J155"/>
  <c r="I155"/>
  <c r="L155" s="1"/>
  <c r="G155"/>
  <c r="F155"/>
  <c r="N155" s="1"/>
  <c r="E155"/>
  <c r="D155"/>
  <c r="C155"/>
  <c r="B155"/>
  <c r="G154"/>
  <c r="B154"/>
  <c r="B153"/>
  <c r="O151"/>
  <c r="N151"/>
  <c r="M151"/>
  <c r="L151"/>
  <c r="H151"/>
  <c r="D151"/>
  <c r="O150"/>
  <c r="N150"/>
  <c r="M150"/>
  <c r="L150"/>
  <c r="H150"/>
  <c r="D150"/>
  <c r="O149"/>
  <c r="N149"/>
  <c r="M149"/>
  <c r="L149"/>
  <c r="K149"/>
  <c r="J149"/>
  <c r="I149"/>
  <c r="H149"/>
  <c r="G149"/>
  <c r="F149"/>
  <c r="F144" s="1"/>
  <c r="E149"/>
  <c r="D149"/>
  <c r="C149"/>
  <c r="B149"/>
  <c r="O148"/>
  <c r="N148"/>
  <c r="N145" s="1"/>
  <c r="N144" s="1"/>
  <c r="I148"/>
  <c r="M148" s="1"/>
  <c r="H148"/>
  <c r="D148"/>
  <c r="O147"/>
  <c r="N147"/>
  <c r="I147"/>
  <c r="M147" s="1"/>
  <c r="P147" s="1"/>
  <c r="H147"/>
  <c r="D147"/>
  <c r="D145" s="1"/>
  <c r="D144" s="1"/>
  <c r="C147"/>
  <c r="O146"/>
  <c r="N146"/>
  <c r="L146"/>
  <c r="I146"/>
  <c r="M146" s="1"/>
  <c r="H146"/>
  <c r="H145" s="1"/>
  <c r="H144" s="1"/>
  <c r="D146"/>
  <c r="O145"/>
  <c r="O144" s="1"/>
  <c r="K145"/>
  <c r="J145"/>
  <c r="G145"/>
  <c r="F145"/>
  <c r="E145"/>
  <c r="E144" s="1"/>
  <c r="C145"/>
  <c r="B145"/>
  <c r="K144"/>
  <c r="G144"/>
  <c r="C144"/>
  <c r="O142"/>
  <c r="N142"/>
  <c r="M142"/>
  <c r="L142"/>
  <c r="H142"/>
  <c r="D142"/>
  <c r="O141"/>
  <c r="N141"/>
  <c r="M141"/>
  <c r="L141"/>
  <c r="H141"/>
  <c r="H140" s="1"/>
  <c r="D141"/>
  <c r="D140" s="1"/>
  <c r="O140"/>
  <c r="N140"/>
  <c r="M140"/>
  <c r="L140"/>
  <c r="K140"/>
  <c r="J140"/>
  <c r="I140"/>
  <c r="G140"/>
  <c r="F140"/>
  <c r="E140"/>
  <c r="C140"/>
  <c r="B140"/>
  <c r="O139"/>
  <c r="N139"/>
  <c r="M139"/>
  <c r="L139"/>
  <c r="H139"/>
  <c r="D139"/>
  <c r="O138"/>
  <c r="O136" s="1"/>
  <c r="O135" s="1"/>
  <c r="N138"/>
  <c r="M138"/>
  <c r="P138" s="1"/>
  <c r="L138"/>
  <c r="H138"/>
  <c r="C138" s="1"/>
  <c r="O137"/>
  <c r="N137"/>
  <c r="M137"/>
  <c r="L137"/>
  <c r="H137"/>
  <c r="D137"/>
  <c r="N136"/>
  <c r="L136"/>
  <c r="L135" s="1"/>
  <c r="K136"/>
  <c r="K135" s="1"/>
  <c r="J136"/>
  <c r="I136"/>
  <c r="I135" s="1"/>
  <c r="G136"/>
  <c r="G135" s="1"/>
  <c r="F136"/>
  <c r="E136"/>
  <c r="E135" s="1"/>
  <c r="B136"/>
  <c r="B135" s="1"/>
  <c r="N135"/>
  <c r="J135"/>
  <c r="F135"/>
  <c r="O133"/>
  <c r="O131" s="1"/>
  <c r="O126" s="1"/>
  <c r="N133"/>
  <c r="M133"/>
  <c r="P133" s="1"/>
  <c r="L133"/>
  <c r="H133"/>
  <c r="C133" s="1"/>
  <c r="O132"/>
  <c r="N132"/>
  <c r="M132"/>
  <c r="L132"/>
  <c r="H132"/>
  <c r="D132"/>
  <c r="N131"/>
  <c r="L131"/>
  <c r="K131"/>
  <c r="J131"/>
  <c r="I131"/>
  <c r="G131"/>
  <c r="G126" s="1"/>
  <c r="F131"/>
  <c r="E131"/>
  <c r="E126" s="1"/>
  <c r="B131"/>
  <c r="O130"/>
  <c r="N130"/>
  <c r="M130"/>
  <c r="L130"/>
  <c r="H130"/>
  <c r="D130"/>
  <c r="O129"/>
  <c r="N129"/>
  <c r="M129"/>
  <c r="L129"/>
  <c r="H129"/>
  <c r="C129"/>
  <c r="D129" s="1"/>
  <c r="D127" s="1"/>
  <c r="O128"/>
  <c r="J128"/>
  <c r="N128" s="1"/>
  <c r="N127" s="1"/>
  <c r="N126" s="1"/>
  <c r="I128"/>
  <c r="H128"/>
  <c r="H127" s="1"/>
  <c r="D128"/>
  <c r="O127"/>
  <c r="K127"/>
  <c r="I127"/>
  <c r="G127"/>
  <c r="F127"/>
  <c r="E127"/>
  <c r="C127"/>
  <c r="B127"/>
  <c r="K126"/>
  <c r="I126"/>
  <c r="F126"/>
  <c r="B126"/>
  <c r="O124"/>
  <c r="N124"/>
  <c r="P124" s="1"/>
  <c r="M124"/>
  <c r="L124"/>
  <c r="H124"/>
  <c r="D124"/>
  <c r="O123"/>
  <c r="N123"/>
  <c r="M123"/>
  <c r="L123"/>
  <c r="H123"/>
  <c r="C123"/>
  <c r="D123" s="1"/>
  <c r="O122"/>
  <c r="N122"/>
  <c r="M122"/>
  <c r="L122"/>
  <c r="K122"/>
  <c r="J122"/>
  <c r="I122"/>
  <c r="H122"/>
  <c r="G122"/>
  <c r="F122"/>
  <c r="F117" s="1"/>
  <c r="E122"/>
  <c r="C122"/>
  <c r="B122"/>
  <c r="O121"/>
  <c r="N121"/>
  <c r="M121"/>
  <c r="L121"/>
  <c r="H121"/>
  <c r="D121"/>
  <c r="O120"/>
  <c r="O118" s="1"/>
  <c r="O117" s="1"/>
  <c r="N120"/>
  <c r="M120"/>
  <c r="P120" s="1"/>
  <c r="L120"/>
  <c r="H120"/>
  <c r="C120" s="1"/>
  <c r="O119"/>
  <c r="N119"/>
  <c r="M119"/>
  <c r="L119"/>
  <c r="H119"/>
  <c r="D119"/>
  <c r="N118"/>
  <c r="L118"/>
  <c r="L117" s="1"/>
  <c r="K118"/>
  <c r="K117" s="1"/>
  <c r="J118"/>
  <c r="I118"/>
  <c r="I117" s="1"/>
  <c r="G118"/>
  <c r="G117" s="1"/>
  <c r="F118"/>
  <c r="E118"/>
  <c r="E117" s="1"/>
  <c r="B118"/>
  <c r="B117" s="1"/>
  <c r="N117"/>
  <c r="J117"/>
  <c r="O115"/>
  <c r="N115"/>
  <c r="M115"/>
  <c r="P115" s="1"/>
  <c r="L115"/>
  <c r="H115"/>
  <c r="D115"/>
  <c r="O114"/>
  <c r="N114"/>
  <c r="M114"/>
  <c r="P114" s="1"/>
  <c r="P113" s="1"/>
  <c r="L114"/>
  <c r="H114"/>
  <c r="H113" s="1"/>
  <c r="D114"/>
  <c r="O113"/>
  <c r="N113"/>
  <c r="M113"/>
  <c r="L113"/>
  <c r="K113"/>
  <c r="J113"/>
  <c r="I113"/>
  <c r="G113"/>
  <c r="F113"/>
  <c r="E113"/>
  <c r="D113"/>
  <c r="C113"/>
  <c r="B113"/>
  <c r="O112"/>
  <c r="N112"/>
  <c r="N109" s="1"/>
  <c r="N108" s="1"/>
  <c r="I112"/>
  <c r="L112" s="1"/>
  <c r="H112"/>
  <c r="D112"/>
  <c r="O111"/>
  <c r="N111"/>
  <c r="I111"/>
  <c r="L111" s="1"/>
  <c r="H111"/>
  <c r="C111" s="1"/>
  <c r="O110"/>
  <c r="O109" s="1"/>
  <c r="O108" s="1"/>
  <c r="N110"/>
  <c r="I110"/>
  <c r="M110" s="1"/>
  <c r="H110"/>
  <c r="D110"/>
  <c r="K109"/>
  <c r="K108" s="1"/>
  <c r="J109"/>
  <c r="J108" s="1"/>
  <c r="H109"/>
  <c r="H108" s="1"/>
  <c r="G109"/>
  <c r="F109"/>
  <c r="F108" s="1"/>
  <c r="E109"/>
  <c r="B109"/>
  <c r="G108"/>
  <c r="E108"/>
  <c r="B108"/>
  <c r="O106"/>
  <c r="N106"/>
  <c r="M106"/>
  <c r="L106"/>
  <c r="H106"/>
  <c r="D106"/>
  <c r="O105"/>
  <c r="N105"/>
  <c r="N104" s="1"/>
  <c r="M105"/>
  <c r="L105"/>
  <c r="L104" s="1"/>
  <c r="H105"/>
  <c r="D105"/>
  <c r="D104" s="1"/>
  <c r="C105"/>
  <c r="O104"/>
  <c r="M104"/>
  <c r="K104"/>
  <c r="K99" s="1"/>
  <c r="J104"/>
  <c r="I104"/>
  <c r="I99" s="1"/>
  <c r="H104"/>
  <c r="G104"/>
  <c r="G99" s="1"/>
  <c r="F104"/>
  <c r="E104"/>
  <c r="E99" s="1"/>
  <c r="C104"/>
  <c r="B104"/>
  <c r="O103"/>
  <c r="N103"/>
  <c r="M103"/>
  <c r="L103"/>
  <c r="H103"/>
  <c r="D103"/>
  <c r="O102"/>
  <c r="N102"/>
  <c r="M102"/>
  <c r="L102"/>
  <c r="H102"/>
  <c r="C102"/>
  <c r="D102" s="1"/>
  <c r="O101"/>
  <c r="N101"/>
  <c r="P101" s="1"/>
  <c r="M101"/>
  <c r="L101"/>
  <c r="H101"/>
  <c r="D101"/>
  <c r="D92" s="1"/>
  <c r="L100"/>
  <c r="K100"/>
  <c r="J100"/>
  <c r="J99" s="1"/>
  <c r="I100"/>
  <c r="H100"/>
  <c r="G100"/>
  <c r="F100"/>
  <c r="F99" s="1"/>
  <c r="E100"/>
  <c r="B100"/>
  <c r="H99"/>
  <c r="B99"/>
  <c r="K97"/>
  <c r="J97"/>
  <c r="I97"/>
  <c r="G97"/>
  <c r="O97" s="1"/>
  <c r="F97"/>
  <c r="E97"/>
  <c r="M97" s="1"/>
  <c r="B97"/>
  <c r="K96"/>
  <c r="K95" s="1"/>
  <c r="J96"/>
  <c r="I96"/>
  <c r="I95" s="1"/>
  <c r="G96"/>
  <c r="F96"/>
  <c r="F95" s="1"/>
  <c r="E96"/>
  <c r="B96"/>
  <c r="B95" s="1"/>
  <c r="J95"/>
  <c r="G95"/>
  <c r="E95"/>
  <c r="K94"/>
  <c r="J94"/>
  <c r="G94"/>
  <c r="O94" s="1"/>
  <c r="F94"/>
  <c r="E94"/>
  <c r="H94" s="1"/>
  <c r="C94"/>
  <c r="B94"/>
  <c r="K93"/>
  <c r="J93"/>
  <c r="G93"/>
  <c r="F93"/>
  <c r="E93"/>
  <c r="B93"/>
  <c r="K92"/>
  <c r="K91" s="1"/>
  <c r="G92"/>
  <c r="F92"/>
  <c r="F91" s="1"/>
  <c r="E92"/>
  <c r="E91" s="1"/>
  <c r="E90" s="1"/>
  <c r="C92"/>
  <c r="C1170" s="1"/>
  <c r="D1170" s="1"/>
  <c r="B92"/>
  <c r="G91"/>
  <c r="G90" s="1"/>
  <c r="B91"/>
  <c r="O88"/>
  <c r="N88"/>
  <c r="M88"/>
  <c r="L88"/>
  <c r="H88"/>
  <c r="D88"/>
  <c r="O87"/>
  <c r="N87"/>
  <c r="M87"/>
  <c r="L87"/>
  <c r="L86" s="1"/>
  <c r="H87"/>
  <c r="H86" s="1"/>
  <c r="C87"/>
  <c r="D87" s="1"/>
  <c r="D86" s="1"/>
  <c r="N86"/>
  <c r="K86"/>
  <c r="J86"/>
  <c r="I86"/>
  <c r="G86"/>
  <c r="F86"/>
  <c r="E86"/>
  <c r="B86"/>
  <c r="O85"/>
  <c r="N85"/>
  <c r="M85"/>
  <c r="L85"/>
  <c r="H85"/>
  <c r="D85"/>
  <c r="O84"/>
  <c r="N84"/>
  <c r="I84"/>
  <c r="M84" s="1"/>
  <c r="H84"/>
  <c r="C84" s="1"/>
  <c r="D84" s="1"/>
  <c r="N83"/>
  <c r="N82" s="1"/>
  <c r="N81" s="1"/>
  <c r="K83"/>
  <c r="O83" s="1"/>
  <c r="O82" s="1"/>
  <c r="I83"/>
  <c r="I82" s="1"/>
  <c r="I81" s="1"/>
  <c r="H83"/>
  <c r="H82" s="1"/>
  <c r="D83"/>
  <c r="J82"/>
  <c r="J81" s="1"/>
  <c r="G82"/>
  <c r="G81" s="1"/>
  <c r="F82"/>
  <c r="E82"/>
  <c r="E81" s="1"/>
  <c r="B82"/>
  <c r="F81"/>
  <c r="B81"/>
  <c r="O79"/>
  <c r="N79"/>
  <c r="M79"/>
  <c r="L79"/>
  <c r="H79"/>
  <c r="D79"/>
  <c r="O78"/>
  <c r="N78"/>
  <c r="M78"/>
  <c r="M77" s="1"/>
  <c r="L78"/>
  <c r="L77" s="1"/>
  <c r="H78"/>
  <c r="D78"/>
  <c r="D77" s="1"/>
  <c r="O77"/>
  <c r="K77"/>
  <c r="J77"/>
  <c r="I77"/>
  <c r="G77"/>
  <c r="F77"/>
  <c r="F72" s="1"/>
  <c r="E77"/>
  <c r="C77"/>
  <c r="B77"/>
  <c r="O76"/>
  <c r="N76"/>
  <c r="M76"/>
  <c r="L76"/>
  <c r="H76"/>
  <c r="D76"/>
  <c r="O75"/>
  <c r="N75"/>
  <c r="M75"/>
  <c r="P75" s="1"/>
  <c r="L75"/>
  <c r="H75"/>
  <c r="C75" s="1"/>
  <c r="O74"/>
  <c r="N74"/>
  <c r="N73" s="1"/>
  <c r="M74"/>
  <c r="L74"/>
  <c r="H74"/>
  <c r="D74"/>
  <c r="L73"/>
  <c r="K73"/>
  <c r="J73"/>
  <c r="I73"/>
  <c r="G73"/>
  <c r="F73"/>
  <c r="E73"/>
  <c r="B73"/>
  <c r="J72"/>
  <c r="B72"/>
  <c r="O70"/>
  <c r="N70"/>
  <c r="M70"/>
  <c r="L70"/>
  <c r="H70"/>
  <c r="D70"/>
  <c r="O69"/>
  <c r="N69"/>
  <c r="M69"/>
  <c r="M68" s="1"/>
  <c r="L69"/>
  <c r="L68" s="1"/>
  <c r="H69"/>
  <c r="D69"/>
  <c r="D68" s="1"/>
  <c r="O68"/>
  <c r="K68"/>
  <c r="J68"/>
  <c r="I68"/>
  <c r="G68"/>
  <c r="F68"/>
  <c r="E68"/>
  <c r="C68"/>
  <c r="B68"/>
  <c r="O67"/>
  <c r="N67"/>
  <c r="M67"/>
  <c r="L67"/>
  <c r="H67"/>
  <c r="D67"/>
  <c r="O66"/>
  <c r="N66"/>
  <c r="M66"/>
  <c r="L66"/>
  <c r="H66"/>
  <c r="C66" s="1"/>
  <c r="D66" s="1"/>
  <c r="O65"/>
  <c r="O64" s="1"/>
  <c r="O63" s="1"/>
  <c r="N65"/>
  <c r="N64" s="1"/>
  <c r="M65"/>
  <c r="L65"/>
  <c r="H65"/>
  <c r="D65"/>
  <c r="L64"/>
  <c r="K64"/>
  <c r="J64"/>
  <c r="J63" s="1"/>
  <c r="I64"/>
  <c r="H64"/>
  <c r="G64"/>
  <c r="F64"/>
  <c r="F63" s="1"/>
  <c r="E64"/>
  <c r="B64"/>
  <c r="B63" s="1"/>
  <c r="O61"/>
  <c r="N61"/>
  <c r="M61"/>
  <c r="P61" s="1"/>
  <c r="L61"/>
  <c r="H61"/>
  <c r="D61"/>
  <c r="O60"/>
  <c r="N60"/>
  <c r="M60"/>
  <c r="L60"/>
  <c r="H60"/>
  <c r="C60" s="1"/>
  <c r="D60" s="1"/>
  <c r="N59"/>
  <c r="L59"/>
  <c r="K59"/>
  <c r="J59"/>
  <c r="I59"/>
  <c r="G59"/>
  <c r="G54" s="1"/>
  <c r="F59"/>
  <c r="E59"/>
  <c r="B59"/>
  <c r="O58"/>
  <c r="O55" s="1"/>
  <c r="N58"/>
  <c r="I58"/>
  <c r="M58" s="1"/>
  <c r="H58"/>
  <c r="D58"/>
  <c r="O57"/>
  <c r="N57"/>
  <c r="I57"/>
  <c r="M57" s="1"/>
  <c r="H57"/>
  <c r="C57"/>
  <c r="D57" s="1"/>
  <c r="O56"/>
  <c r="N56"/>
  <c r="M56"/>
  <c r="L56"/>
  <c r="H56"/>
  <c r="D56"/>
  <c r="K55"/>
  <c r="J55"/>
  <c r="H55"/>
  <c r="G55"/>
  <c r="F55"/>
  <c r="E55"/>
  <c r="C55"/>
  <c r="B55"/>
  <c r="K54"/>
  <c r="E54"/>
  <c r="O52"/>
  <c r="N52"/>
  <c r="P52" s="1"/>
  <c r="M52"/>
  <c r="L52"/>
  <c r="H52"/>
  <c r="D52"/>
  <c r="O51"/>
  <c r="O50" s="1"/>
  <c r="N51"/>
  <c r="N50" s="1"/>
  <c r="M51"/>
  <c r="L51"/>
  <c r="L50" s="1"/>
  <c r="H51"/>
  <c r="D51"/>
  <c r="D50" s="1"/>
  <c r="K50"/>
  <c r="J50"/>
  <c r="I50"/>
  <c r="H50"/>
  <c r="G50"/>
  <c r="G45" s="1"/>
  <c r="F50"/>
  <c r="E50"/>
  <c r="C50"/>
  <c r="B50"/>
  <c r="O49"/>
  <c r="N49"/>
  <c r="M49"/>
  <c r="L49"/>
  <c r="H49"/>
  <c r="D49"/>
  <c r="O48"/>
  <c r="O46" s="1"/>
  <c r="N48"/>
  <c r="M48"/>
  <c r="L48"/>
  <c r="H48"/>
  <c r="C48"/>
  <c r="D48" s="1"/>
  <c r="O47"/>
  <c r="N47"/>
  <c r="M47"/>
  <c r="L47"/>
  <c r="H47"/>
  <c r="D47"/>
  <c r="K46"/>
  <c r="J46"/>
  <c r="I46"/>
  <c r="I45" s="1"/>
  <c r="G46"/>
  <c r="F46"/>
  <c r="E46"/>
  <c r="C46"/>
  <c r="C45" s="1"/>
  <c r="B46"/>
  <c r="K45"/>
  <c r="E45"/>
  <c r="O43"/>
  <c r="N43"/>
  <c r="M43"/>
  <c r="L43"/>
  <c r="H43"/>
  <c r="D43"/>
  <c r="O42"/>
  <c r="O41" s="1"/>
  <c r="N42"/>
  <c r="N41" s="1"/>
  <c r="M42"/>
  <c r="L42"/>
  <c r="H42"/>
  <c r="D42"/>
  <c r="L41"/>
  <c r="K41"/>
  <c r="J41"/>
  <c r="I41"/>
  <c r="H41"/>
  <c r="G41"/>
  <c r="F41"/>
  <c r="E41"/>
  <c r="D41"/>
  <c r="C41"/>
  <c r="B41"/>
  <c r="O40"/>
  <c r="N40"/>
  <c r="M40"/>
  <c r="L40"/>
  <c r="H40"/>
  <c r="D40"/>
  <c r="O39"/>
  <c r="N39"/>
  <c r="P39" s="1"/>
  <c r="M39"/>
  <c r="L39"/>
  <c r="H39"/>
  <c r="D39"/>
  <c r="O38"/>
  <c r="O37" s="1"/>
  <c r="N38"/>
  <c r="N37" s="1"/>
  <c r="N36" s="1"/>
  <c r="M38"/>
  <c r="L38"/>
  <c r="L37" s="1"/>
  <c r="L36" s="1"/>
  <c r="H38"/>
  <c r="D38"/>
  <c r="D37" s="1"/>
  <c r="D36" s="1"/>
  <c r="K37"/>
  <c r="K36" s="1"/>
  <c r="J37"/>
  <c r="I37"/>
  <c r="I36" s="1"/>
  <c r="H37"/>
  <c r="G37"/>
  <c r="G36" s="1"/>
  <c r="F37"/>
  <c r="E37"/>
  <c r="E36" s="1"/>
  <c r="C37"/>
  <c r="C36" s="1"/>
  <c r="B37"/>
  <c r="J36"/>
  <c r="H36"/>
  <c r="F36"/>
  <c r="B36"/>
  <c r="O34"/>
  <c r="N34"/>
  <c r="M34"/>
  <c r="L34"/>
  <c r="H34"/>
  <c r="C34"/>
  <c r="D34" s="1"/>
  <c r="O33"/>
  <c r="O32" s="1"/>
  <c r="N33"/>
  <c r="N32" s="1"/>
  <c r="M33"/>
  <c r="L33"/>
  <c r="L32" s="1"/>
  <c r="H33"/>
  <c r="D33"/>
  <c r="K32"/>
  <c r="J32"/>
  <c r="I32"/>
  <c r="H32"/>
  <c r="G32"/>
  <c r="F32"/>
  <c r="E32"/>
  <c r="B32"/>
  <c r="O31"/>
  <c r="N31"/>
  <c r="I31"/>
  <c r="M31" s="1"/>
  <c r="H31"/>
  <c r="D31"/>
  <c r="O30"/>
  <c r="N30"/>
  <c r="I30"/>
  <c r="M30" s="1"/>
  <c r="H30"/>
  <c r="D30"/>
  <c r="O29"/>
  <c r="J29"/>
  <c r="N29" s="1"/>
  <c r="I29"/>
  <c r="L29" s="1"/>
  <c r="H29"/>
  <c r="D29"/>
  <c r="D28" s="1"/>
  <c r="K28"/>
  <c r="J28"/>
  <c r="J27" s="1"/>
  <c r="G28"/>
  <c r="F28"/>
  <c r="F27" s="1"/>
  <c r="E28"/>
  <c r="C28"/>
  <c r="B28"/>
  <c r="K27"/>
  <c r="B27"/>
  <c r="O25"/>
  <c r="N25"/>
  <c r="M25"/>
  <c r="L25"/>
  <c r="H25"/>
  <c r="D25"/>
  <c r="O24"/>
  <c r="N24"/>
  <c r="P24" s="1"/>
  <c r="M24"/>
  <c r="L24"/>
  <c r="L23" s="1"/>
  <c r="H24"/>
  <c r="D24"/>
  <c r="D23" s="1"/>
  <c r="O23"/>
  <c r="M23"/>
  <c r="K23"/>
  <c r="J23"/>
  <c r="I23"/>
  <c r="G23"/>
  <c r="F23"/>
  <c r="E23"/>
  <c r="C23"/>
  <c r="B23"/>
  <c r="O22"/>
  <c r="N22"/>
  <c r="P22" s="1"/>
  <c r="M22"/>
  <c r="L22"/>
  <c r="H22"/>
  <c r="D22"/>
  <c r="D13" s="1"/>
  <c r="O21"/>
  <c r="N21"/>
  <c r="I21"/>
  <c r="M21" s="1"/>
  <c r="H21"/>
  <c r="C21" s="1"/>
  <c r="D21" s="1"/>
  <c r="O20"/>
  <c r="N20"/>
  <c r="I20"/>
  <c r="M20" s="1"/>
  <c r="H20"/>
  <c r="D20"/>
  <c r="D11" s="1"/>
  <c r="K19"/>
  <c r="J19"/>
  <c r="G19"/>
  <c r="F19"/>
  <c r="E19"/>
  <c r="B19"/>
  <c r="F18"/>
  <c r="K16"/>
  <c r="J16"/>
  <c r="I16"/>
  <c r="G16"/>
  <c r="F16"/>
  <c r="E16"/>
  <c r="B16"/>
  <c r="K15"/>
  <c r="J15"/>
  <c r="I15"/>
  <c r="G15"/>
  <c r="G14" s="1"/>
  <c r="F15"/>
  <c r="E15"/>
  <c r="B15"/>
  <c r="I14"/>
  <c r="E14"/>
  <c r="K13"/>
  <c r="J13"/>
  <c r="G13"/>
  <c r="F13"/>
  <c r="F1176" s="1"/>
  <c r="E13"/>
  <c r="C13"/>
  <c r="B13"/>
  <c r="K12"/>
  <c r="K1175" s="1"/>
  <c r="J12"/>
  <c r="I12"/>
  <c r="G12"/>
  <c r="F12"/>
  <c r="F1175" s="1"/>
  <c r="F1182" s="1"/>
  <c r="E12"/>
  <c r="B12"/>
  <c r="B1175" s="1"/>
  <c r="K11"/>
  <c r="J11"/>
  <c r="G11"/>
  <c r="G1174" s="1"/>
  <c r="F11"/>
  <c r="E11"/>
  <c r="E1174" s="1"/>
  <c r="C11"/>
  <c r="C1174" s="1"/>
  <c r="B11"/>
  <c r="G10"/>
  <c r="A2"/>
  <c r="K17" i="33"/>
  <c r="F17"/>
  <c r="H16"/>
  <c r="K16" s="1"/>
  <c r="K15" s="1"/>
  <c r="F16"/>
  <c r="J15"/>
  <c r="H15"/>
  <c r="G15"/>
  <c r="F15"/>
  <c r="E15"/>
  <c r="D15"/>
  <c r="C15"/>
  <c r="B15"/>
  <c r="K14"/>
  <c r="F14"/>
  <c r="K13"/>
  <c r="F13"/>
  <c r="J12"/>
  <c r="H12"/>
  <c r="K12" s="1"/>
  <c r="K11" s="1"/>
  <c r="K10" s="1"/>
  <c r="F12"/>
  <c r="F11" s="1"/>
  <c r="F10" s="1"/>
  <c r="J11"/>
  <c r="J10" s="1"/>
  <c r="H11"/>
  <c r="G11"/>
  <c r="G10" s="1"/>
  <c r="E11"/>
  <c r="E10" s="1"/>
  <c r="D11"/>
  <c r="C11"/>
  <c r="C10" s="1"/>
  <c r="B11"/>
  <c r="H10"/>
  <c r="D10"/>
  <c r="B10"/>
  <c r="K17" i="32"/>
  <c r="F17"/>
  <c r="K16"/>
  <c r="K15" s="1"/>
  <c r="K10" s="1"/>
  <c r="E16"/>
  <c r="F16" s="1"/>
  <c r="F15" s="1"/>
  <c r="F10" s="1"/>
  <c r="E15"/>
  <c r="E10" s="1"/>
  <c r="D15"/>
  <c r="C15"/>
  <c r="B15"/>
  <c r="K14"/>
  <c r="F14"/>
  <c r="K13"/>
  <c r="F13"/>
  <c r="K12"/>
  <c r="F12"/>
  <c r="K11"/>
  <c r="F11"/>
  <c r="E11"/>
  <c r="D11"/>
  <c r="C11"/>
  <c r="B11"/>
  <c r="D10"/>
  <c r="C10"/>
  <c r="B10"/>
  <c r="K17" i="31"/>
  <c r="F17"/>
  <c r="J16"/>
  <c r="H16"/>
  <c r="G16"/>
  <c r="K16" s="1"/>
  <c r="K15" s="1"/>
  <c r="K10" s="1"/>
  <c r="F16"/>
  <c r="J15"/>
  <c r="H15"/>
  <c r="G15"/>
  <c r="F15"/>
  <c r="E15"/>
  <c r="D15"/>
  <c r="C15"/>
  <c r="B15"/>
  <c r="K14"/>
  <c r="F14"/>
  <c r="K13"/>
  <c r="F13"/>
  <c r="K12"/>
  <c r="F12"/>
  <c r="K11"/>
  <c r="J11"/>
  <c r="H11"/>
  <c r="G11"/>
  <c r="F11"/>
  <c r="E11"/>
  <c r="D11"/>
  <c r="C11"/>
  <c r="B11"/>
  <c r="J10"/>
  <c r="H10"/>
  <c r="G10"/>
  <c r="F10"/>
  <c r="E10"/>
  <c r="D10"/>
  <c r="C10"/>
  <c r="B10"/>
  <c r="K17" i="30"/>
  <c r="F17"/>
  <c r="K16"/>
  <c r="E16"/>
  <c r="C16"/>
  <c r="F16" s="1"/>
  <c r="F15" s="1"/>
  <c r="K15"/>
  <c r="J15"/>
  <c r="J10" s="1"/>
  <c r="I15"/>
  <c r="H15"/>
  <c r="H10" s="1"/>
  <c r="G15"/>
  <c r="E15"/>
  <c r="D15"/>
  <c r="D10" s="1"/>
  <c r="B15"/>
  <c r="B10" s="1"/>
  <c r="K14"/>
  <c r="F14"/>
  <c r="F11" s="1"/>
  <c r="F10" s="1"/>
  <c r="G13"/>
  <c r="K13" s="1"/>
  <c r="F13"/>
  <c r="H12"/>
  <c r="G12"/>
  <c r="K12" s="1"/>
  <c r="F12"/>
  <c r="J11"/>
  <c r="I11"/>
  <c r="H11"/>
  <c r="G11"/>
  <c r="E11"/>
  <c r="D11"/>
  <c r="C11"/>
  <c r="B11"/>
  <c r="I10"/>
  <c r="G10"/>
  <c r="E10"/>
  <c r="K35" i="29"/>
  <c r="F35"/>
  <c r="K34"/>
  <c r="F34"/>
  <c r="K33"/>
  <c r="J33"/>
  <c r="I33"/>
  <c r="H33"/>
  <c r="G33"/>
  <c r="F33"/>
  <c r="E33"/>
  <c r="D33"/>
  <c r="C33"/>
  <c r="B33"/>
  <c r="K32"/>
  <c r="F32"/>
  <c r="K31"/>
  <c r="F31"/>
  <c r="H30"/>
  <c r="G30"/>
  <c r="K30" s="1"/>
  <c r="K29" s="1"/>
  <c r="K28" s="1"/>
  <c r="F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K26"/>
  <c r="F26"/>
  <c r="K25"/>
  <c r="F25"/>
  <c r="K24"/>
  <c r="J24"/>
  <c r="F24"/>
  <c r="E24"/>
  <c r="D24"/>
  <c r="C24"/>
  <c r="B24"/>
  <c r="K23"/>
  <c r="F23"/>
  <c r="K22"/>
  <c r="F22"/>
  <c r="K21"/>
  <c r="F21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K62" i="28"/>
  <c r="F62"/>
  <c r="K61"/>
  <c r="F61"/>
  <c r="F60" s="1"/>
  <c r="F55" s="1"/>
  <c r="E61"/>
  <c r="K60"/>
  <c r="J60"/>
  <c r="I60"/>
  <c r="H60"/>
  <c r="G60"/>
  <c r="E60"/>
  <c r="D60"/>
  <c r="C60"/>
  <c r="B60"/>
  <c r="K59"/>
  <c r="F59"/>
  <c r="K58"/>
  <c r="F58"/>
  <c r="H57"/>
  <c r="G57"/>
  <c r="K57" s="1"/>
  <c r="K56" s="1"/>
  <c r="K55" s="1"/>
  <c r="F57"/>
  <c r="J56"/>
  <c r="I56"/>
  <c r="H56"/>
  <c r="G56"/>
  <c r="F56"/>
  <c r="E56"/>
  <c r="D56"/>
  <c r="C56"/>
  <c r="B56"/>
  <c r="J55"/>
  <c r="I55"/>
  <c r="H55"/>
  <c r="G55"/>
  <c r="E55"/>
  <c r="D55"/>
  <c r="C55"/>
  <c r="B55"/>
  <c r="K53"/>
  <c r="F53"/>
  <c r="J52"/>
  <c r="H52"/>
  <c r="K52" s="1"/>
  <c r="K51" s="1"/>
  <c r="F52"/>
  <c r="J51"/>
  <c r="H51"/>
  <c r="G51"/>
  <c r="F51"/>
  <c r="E51"/>
  <c r="D51"/>
  <c r="C51"/>
  <c r="B51"/>
  <c r="G50"/>
  <c r="K50" s="1"/>
  <c r="F50"/>
  <c r="K49"/>
  <c r="F49"/>
  <c r="H48"/>
  <c r="G48"/>
  <c r="K48" s="1"/>
  <c r="F48"/>
  <c r="J47"/>
  <c r="H47"/>
  <c r="H46" s="1"/>
  <c r="F47"/>
  <c r="F46" s="1"/>
  <c r="E47"/>
  <c r="D47"/>
  <c r="D46" s="1"/>
  <c r="C47"/>
  <c r="B47"/>
  <c r="B46" s="1"/>
  <c r="J46"/>
  <c r="E46"/>
  <c r="C46"/>
  <c r="K44"/>
  <c r="F44"/>
  <c r="K43"/>
  <c r="H43"/>
  <c r="F43"/>
  <c r="F42" s="1"/>
  <c r="F37" s="1"/>
  <c r="E43"/>
  <c r="K42"/>
  <c r="J42"/>
  <c r="I42"/>
  <c r="H42"/>
  <c r="G42"/>
  <c r="E42"/>
  <c r="D42"/>
  <c r="C42"/>
  <c r="B42"/>
  <c r="K41"/>
  <c r="F41"/>
  <c r="K40"/>
  <c r="F40"/>
  <c r="H39"/>
  <c r="G39"/>
  <c r="K39" s="1"/>
  <c r="K38" s="1"/>
  <c r="K37" s="1"/>
  <c r="F39"/>
  <c r="J38"/>
  <c r="I38"/>
  <c r="H38"/>
  <c r="G38"/>
  <c r="F38"/>
  <c r="E38"/>
  <c r="D38"/>
  <c r="C38"/>
  <c r="B38"/>
  <c r="J37"/>
  <c r="I37"/>
  <c r="H37"/>
  <c r="G37"/>
  <c r="E37"/>
  <c r="D37"/>
  <c r="C37"/>
  <c r="B37"/>
  <c r="K35"/>
  <c r="F35"/>
  <c r="K34"/>
  <c r="F34"/>
  <c r="K33"/>
  <c r="J33"/>
  <c r="H33"/>
  <c r="G33"/>
  <c r="F33"/>
  <c r="E33"/>
  <c r="D33"/>
  <c r="C33"/>
  <c r="B33"/>
  <c r="K32"/>
  <c r="F32"/>
  <c r="K31"/>
  <c r="F31"/>
  <c r="G30"/>
  <c r="K30" s="1"/>
  <c r="K29" s="1"/>
  <c r="K28" s="1"/>
  <c r="F30"/>
  <c r="J29"/>
  <c r="H29"/>
  <c r="H28" s="1"/>
  <c r="F29"/>
  <c r="F28" s="1"/>
  <c r="E29"/>
  <c r="D29"/>
  <c r="D28" s="1"/>
  <c r="C29"/>
  <c r="B29"/>
  <c r="B28" s="1"/>
  <c r="J28"/>
  <c r="E28"/>
  <c r="C28"/>
  <c r="K26"/>
  <c r="F26"/>
  <c r="K25"/>
  <c r="K24" s="1"/>
  <c r="E25"/>
  <c r="F25" s="1"/>
  <c r="F24" s="1"/>
  <c r="J24"/>
  <c r="H24"/>
  <c r="G24"/>
  <c r="E24"/>
  <c r="D24"/>
  <c r="C24"/>
  <c r="B24"/>
  <c r="K23"/>
  <c r="F23"/>
  <c r="K22"/>
  <c r="F22"/>
  <c r="K21"/>
  <c r="K20" s="1"/>
  <c r="G21"/>
  <c r="F21"/>
  <c r="F20" s="1"/>
  <c r="F19" s="1"/>
  <c r="J20"/>
  <c r="J19" s="1"/>
  <c r="H20"/>
  <c r="G20"/>
  <c r="G19" s="1"/>
  <c r="E20"/>
  <c r="E19" s="1"/>
  <c r="D20"/>
  <c r="C20"/>
  <c r="C19" s="1"/>
  <c r="B20"/>
  <c r="H19"/>
  <c r="D19"/>
  <c r="B19"/>
  <c r="K17" i="27"/>
  <c r="F17"/>
  <c r="K16"/>
  <c r="F16"/>
  <c r="F15" s="1"/>
  <c r="K15"/>
  <c r="J15"/>
  <c r="H15"/>
  <c r="G15"/>
  <c r="E15"/>
  <c r="D15"/>
  <c r="C15"/>
  <c r="B15"/>
  <c r="K14"/>
  <c r="F14"/>
  <c r="K13"/>
  <c r="F13"/>
  <c r="K12"/>
  <c r="F12"/>
  <c r="K11"/>
  <c r="K10" s="1"/>
  <c r="J11"/>
  <c r="H11"/>
  <c r="H10" s="1"/>
  <c r="G11"/>
  <c r="F11"/>
  <c r="E11"/>
  <c r="D11"/>
  <c r="D10" s="1"/>
  <c r="C11"/>
  <c r="B11"/>
  <c r="B10" s="1"/>
  <c r="J10"/>
  <c r="G10"/>
  <c r="E10"/>
  <c r="C10"/>
  <c r="K334" i="25"/>
  <c r="F334"/>
  <c r="K333"/>
  <c r="F333"/>
  <c r="K332"/>
  <c r="J332"/>
  <c r="J327" s="1"/>
  <c r="I332"/>
  <c r="H332"/>
  <c r="H327" s="1"/>
  <c r="G332"/>
  <c r="F332"/>
  <c r="E332"/>
  <c r="D332"/>
  <c r="D327" s="1"/>
  <c r="C332"/>
  <c r="B332"/>
  <c r="B327" s="1"/>
  <c r="K331"/>
  <c r="F331"/>
  <c r="K330"/>
  <c r="F330"/>
  <c r="F328" s="1"/>
  <c r="F327" s="1"/>
  <c r="I329"/>
  <c r="H329"/>
  <c r="G329"/>
  <c r="K329" s="1"/>
  <c r="K328" s="1"/>
  <c r="K327" s="1"/>
  <c r="F329"/>
  <c r="J328"/>
  <c r="I328"/>
  <c r="H328"/>
  <c r="G328"/>
  <c r="E328"/>
  <c r="D328"/>
  <c r="C328"/>
  <c r="B328"/>
  <c r="I327"/>
  <c r="G327"/>
  <c r="E327"/>
  <c r="C327"/>
  <c r="K325"/>
  <c r="F325"/>
  <c r="K324"/>
  <c r="K323" s="1"/>
  <c r="C324"/>
  <c r="F324" s="1"/>
  <c r="F323" s="1"/>
  <c r="F318" s="1"/>
  <c r="J323"/>
  <c r="I323"/>
  <c r="H323"/>
  <c r="G323"/>
  <c r="E323"/>
  <c r="D323"/>
  <c r="B323"/>
  <c r="K322"/>
  <c r="F322"/>
  <c r="K321"/>
  <c r="F321"/>
  <c r="J320"/>
  <c r="H320"/>
  <c r="K320" s="1"/>
  <c r="K319" s="1"/>
  <c r="K318" s="1"/>
  <c r="F320"/>
  <c r="J319"/>
  <c r="I319"/>
  <c r="H319"/>
  <c r="G319"/>
  <c r="F319"/>
  <c r="E319"/>
  <c r="D319"/>
  <c r="C319"/>
  <c r="B319"/>
  <c r="J318"/>
  <c r="I318"/>
  <c r="H318"/>
  <c r="G318"/>
  <c r="E318"/>
  <c r="D318"/>
  <c r="B318"/>
  <c r="K316"/>
  <c r="F316"/>
  <c r="K315"/>
  <c r="F315"/>
  <c r="K314"/>
  <c r="J314"/>
  <c r="I314"/>
  <c r="H314"/>
  <c r="G314"/>
  <c r="F314"/>
  <c r="E314"/>
  <c r="D314"/>
  <c r="C314"/>
  <c r="B314"/>
  <c r="K313"/>
  <c r="F313"/>
  <c r="K312"/>
  <c r="F312"/>
  <c r="K311"/>
  <c r="F311"/>
  <c r="K310"/>
  <c r="J310"/>
  <c r="I310"/>
  <c r="H310"/>
  <c r="G310"/>
  <c r="F310"/>
  <c r="E310"/>
  <c r="D310"/>
  <c r="C310"/>
  <c r="B310"/>
  <c r="K309"/>
  <c r="J309"/>
  <c r="I309"/>
  <c r="H309"/>
  <c r="G309"/>
  <c r="F309"/>
  <c r="E309"/>
  <c r="D309"/>
  <c r="C309"/>
  <c r="B309"/>
  <c r="K307"/>
  <c r="F307"/>
  <c r="K306"/>
  <c r="F306"/>
  <c r="K305"/>
  <c r="J305"/>
  <c r="I305"/>
  <c r="H305"/>
  <c r="G305"/>
  <c r="F305"/>
  <c r="E305"/>
  <c r="D305"/>
  <c r="C305"/>
  <c r="B305"/>
  <c r="K304"/>
  <c r="F304"/>
  <c r="K303"/>
  <c r="F303"/>
  <c r="H302"/>
  <c r="G302"/>
  <c r="K302" s="1"/>
  <c r="K301" s="1"/>
  <c r="K300" s="1"/>
  <c r="F302"/>
  <c r="J301"/>
  <c r="I301"/>
  <c r="H301"/>
  <c r="G301"/>
  <c r="F301"/>
  <c r="E301"/>
  <c r="D301"/>
  <c r="C301"/>
  <c r="B301"/>
  <c r="J300"/>
  <c r="I300"/>
  <c r="H300"/>
  <c r="G300"/>
  <c r="F300"/>
  <c r="E300"/>
  <c r="D300"/>
  <c r="C300"/>
  <c r="B300"/>
  <c r="K298"/>
  <c r="F298"/>
  <c r="K297"/>
  <c r="F297"/>
  <c r="K296"/>
  <c r="J296"/>
  <c r="I296"/>
  <c r="H296"/>
  <c r="G296"/>
  <c r="F296"/>
  <c r="E296"/>
  <c r="D296"/>
  <c r="C296"/>
  <c r="B296"/>
  <c r="K295"/>
  <c r="F295"/>
  <c r="K294"/>
  <c r="F294"/>
  <c r="K293"/>
  <c r="F293"/>
  <c r="K292"/>
  <c r="J292"/>
  <c r="I292"/>
  <c r="H292"/>
  <c r="G292"/>
  <c r="F292"/>
  <c r="E292"/>
  <c r="D292"/>
  <c r="C292"/>
  <c r="B292"/>
  <c r="K291"/>
  <c r="J291"/>
  <c r="I291"/>
  <c r="H291"/>
  <c r="G291"/>
  <c r="F291"/>
  <c r="E291"/>
  <c r="D291"/>
  <c r="C291"/>
  <c r="B291"/>
  <c r="K289"/>
  <c r="F289"/>
  <c r="K288"/>
  <c r="F288"/>
  <c r="K287"/>
  <c r="J287"/>
  <c r="I287"/>
  <c r="H287"/>
  <c r="G287"/>
  <c r="F287"/>
  <c r="E287"/>
  <c r="D287"/>
  <c r="C287"/>
  <c r="B287"/>
  <c r="K286"/>
  <c r="F286"/>
  <c r="K285"/>
  <c r="F285"/>
  <c r="K284"/>
  <c r="F284"/>
  <c r="K283"/>
  <c r="J283"/>
  <c r="I283"/>
  <c r="H283"/>
  <c r="G283"/>
  <c r="F283"/>
  <c r="E283"/>
  <c r="D283"/>
  <c r="C283"/>
  <c r="B283"/>
  <c r="K282"/>
  <c r="J282"/>
  <c r="I282"/>
  <c r="H282"/>
  <c r="G282"/>
  <c r="F282"/>
  <c r="E282"/>
  <c r="D282"/>
  <c r="C282"/>
  <c r="B282"/>
  <c r="K280"/>
  <c r="F280"/>
  <c r="K279"/>
  <c r="F279"/>
  <c r="K278"/>
  <c r="J278"/>
  <c r="J273" s="1"/>
  <c r="I278"/>
  <c r="H278"/>
  <c r="H273" s="1"/>
  <c r="G278"/>
  <c r="F278"/>
  <c r="E278"/>
  <c r="D278"/>
  <c r="D273" s="1"/>
  <c r="C278"/>
  <c r="B278"/>
  <c r="B273" s="1"/>
  <c r="K277"/>
  <c r="F277"/>
  <c r="F274" s="1"/>
  <c r="F273" s="1"/>
  <c r="G276"/>
  <c r="K276" s="1"/>
  <c r="F276"/>
  <c r="H275"/>
  <c r="G275"/>
  <c r="K275" s="1"/>
  <c r="F275"/>
  <c r="J274"/>
  <c r="I274"/>
  <c r="H274"/>
  <c r="G274"/>
  <c r="E274"/>
  <c r="D274"/>
  <c r="C274"/>
  <c r="B274"/>
  <c r="I273"/>
  <c r="G273"/>
  <c r="E273"/>
  <c r="C273"/>
  <c r="K271"/>
  <c r="F271"/>
  <c r="K270"/>
  <c r="F270"/>
  <c r="K269"/>
  <c r="J269"/>
  <c r="H269"/>
  <c r="G269"/>
  <c r="F269"/>
  <c r="E269"/>
  <c r="D269"/>
  <c r="C269"/>
  <c r="B269"/>
  <c r="G268"/>
  <c r="K268" s="1"/>
  <c r="F268"/>
  <c r="K267"/>
  <c r="F267"/>
  <c r="J266"/>
  <c r="H266"/>
  <c r="K266" s="1"/>
  <c r="G266"/>
  <c r="F266"/>
  <c r="F265" s="1"/>
  <c r="F264" s="1"/>
  <c r="J265"/>
  <c r="J264" s="1"/>
  <c r="G265"/>
  <c r="G264" s="1"/>
  <c r="E265"/>
  <c r="E264" s="1"/>
  <c r="D265"/>
  <c r="C265"/>
  <c r="C264" s="1"/>
  <c r="B265"/>
  <c r="D264"/>
  <c r="B264"/>
  <c r="K262"/>
  <c r="F262"/>
  <c r="K261"/>
  <c r="F261"/>
  <c r="K260"/>
  <c r="J260"/>
  <c r="J255" s="1"/>
  <c r="I260"/>
  <c r="H260"/>
  <c r="H255" s="1"/>
  <c r="G260"/>
  <c r="F260"/>
  <c r="E260"/>
  <c r="D260"/>
  <c r="D255" s="1"/>
  <c r="C260"/>
  <c r="B260"/>
  <c r="B255" s="1"/>
  <c r="G259"/>
  <c r="K259" s="1"/>
  <c r="F259"/>
  <c r="K258"/>
  <c r="G258"/>
  <c r="F258"/>
  <c r="F256" s="1"/>
  <c r="F255" s="1"/>
  <c r="G257"/>
  <c r="K257" s="1"/>
  <c r="F257"/>
  <c r="J256"/>
  <c r="I256"/>
  <c r="H256"/>
  <c r="G256"/>
  <c r="E256"/>
  <c r="D256"/>
  <c r="C256"/>
  <c r="B256"/>
  <c r="I255"/>
  <c r="G255"/>
  <c r="E255"/>
  <c r="C255"/>
  <c r="K253"/>
  <c r="F253"/>
  <c r="K252"/>
  <c r="F252"/>
  <c r="K251"/>
  <c r="J251"/>
  <c r="I251"/>
  <c r="H251"/>
  <c r="G251"/>
  <c r="F251"/>
  <c r="E251"/>
  <c r="D251"/>
  <c r="C251"/>
  <c r="B251"/>
  <c r="K250"/>
  <c r="F250"/>
  <c r="K249"/>
  <c r="F249"/>
  <c r="K248"/>
  <c r="F248"/>
  <c r="K247"/>
  <c r="J247"/>
  <c r="I247"/>
  <c r="H247"/>
  <c r="G247"/>
  <c r="F247"/>
  <c r="E247"/>
  <c r="D247"/>
  <c r="C247"/>
  <c r="B247"/>
  <c r="K246"/>
  <c r="J246"/>
  <c r="I246"/>
  <c r="H246"/>
  <c r="G246"/>
  <c r="F246"/>
  <c r="E246"/>
  <c r="D246"/>
  <c r="C246"/>
  <c r="B246"/>
  <c r="K244"/>
  <c r="F244"/>
  <c r="K243"/>
  <c r="F243"/>
  <c r="K242"/>
  <c r="J242"/>
  <c r="I242"/>
  <c r="I237" s="1"/>
  <c r="H242"/>
  <c r="G242"/>
  <c r="G237" s="1"/>
  <c r="F242"/>
  <c r="E242"/>
  <c r="E237" s="1"/>
  <c r="D242"/>
  <c r="C242"/>
  <c r="C237" s="1"/>
  <c r="B242"/>
  <c r="K241"/>
  <c r="F241"/>
  <c r="K240"/>
  <c r="K238" s="1"/>
  <c r="K237" s="1"/>
  <c r="G240"/>
  <c r="F240"/>
  <c r="K239"/>
  <c r="F239"/>
  <c r="J238"/>
  <c r="I238"/>
  <c r="H238"/>
  <c r="G238"/>
  <c r="F238"/>
  <c r="E238"/>
  <c r="D238"/>
  <c r="C238"/>
  <c r="B238"/>
  <c r="J237"/>
  <c r="H237"/>
  <c r="F237"/>
  <c r="D237"/>
  <c r="B237"/>
  <c r="K235"/>
  <c r="F235"/>
  <c r="K234"/>
  <c r="F234"/>
  <c r="F233" s="1"/>
  <c r="C234"/>
  <c r="K233"/>
  <c r="J233"/>
  <c r="I233"/>
  <c r="H233"/>
  <c r="G233"/>
  <c r="E233"/>
  <c r="D233"/>
  <c r="C233"/>
  <c r="B233"/>
  <c r="K232"/>
  <c r="F232"/>
  <c r="K231"/>
  <c r="G231"/>
  <c r="F231"/>
  <c r="F229" s="1"/>
  <c r="F228" s="1"/>
  <c r="G230"/>
  <c r="K230" s="1"/>
  <c r="K229" s="1"/>
  <c r="K228" s="1"/>
  <c r="F230"/>
  <c r="J229"/>
  <c r="I229"/>
  <c r="H229"/>
  <c r="G229"/>
  <c r="E229"/>
  <c r="D229"/>
  <c r="C229"/>
  <c r="B229"/>
  <c r="J228"/>
  <c r="I228"/>
  <c r="H228"/>
  <c r="G228"/>
  <c r="E228"/>
  <c r="D228"/>
  <c r="C228"/>
  <c r="B228"/>
  <c r="K226"/>
  <c r="F226"/>
  <c r="K225"/>
  <c r="F225"/>
  <c r="K224"/>
  <c r="J224"/>
  <c r="I224"/>
  <c r="H224"/>
  <c r="G224"/>
  <c r="F224"/>
  <c r="E224"/>
  <c r="D224"/>
  <c r="C224"/>
  <c r="B224"/>
  <c r="K223"/>
  <c r="F223"/>
  <c r="K222"/>
  <c r="G222"/>
  <c r="F222"/>
  <c r="F220" s="1"/>
  <c r="F219" s="1"/>
  <c r="G221"/>
  <c r="K221" s="1"/>
  <c r="K220" s="1"/>
  <c r="K219" s="1"/>
  <c r="F221"/>
  <c r="J220"/>
  <c r="I220"/>
  <c r="H220"/>
  <c r="G220"/>
  <c r="E220"/>
  <c r="D220"/>
  <c r="C220"/>
  <c r="B220"/>
  <c r="J219"/>
  <c r="I219"/>
  <c r="H219"/>
  <c r="G219"/>
  <c r="E219"/>
  <c r="D219"/>
  <c r="C219"/>
  <c r="B219"/>
  <c r="K217"/>
  <c r="F217"/>
  <c r="K216"/>
  <c r="F216"/>
  <c r="K215"/>
  <c r="J215"/>
  <c r="I215"/>
  <c r="H215"/>
  <c r="G215"/>
  <c r="F215"/>
  <c r="E215"/>
  <c r="D215"/>
  <c r="C215"/>
  <c r="B215"/>
  <c r="K214"/>
  <c r="F214"/>
  <c r="K213"/>
  <c r="K211" s="1"/>
  <c r="K210" s="1"/>
  <c r="G213"/>
  <c r="F213"/>
  <c r="K212"/>
  <c r="F212"/>
  <c r="J211"/>
  <c r="I211"/>
  <c r="H211"/>
  <c r="G211"/>
  <c r="F211"/>
  <c r="E211"/>
  <c r="D211"/>
  <c r="C211"/>
  <c r="B211"/>
  <c r="J210"/>
  <c r="I210"/>
  <c r="H210"/>
  <c r="G210"/>
  <c r="F210"/>
  <c r="E210"/>
  <c r="D210"/>
  <c r="C210"/>
  <c r="B210"/>
  <c r="K208"/>
  <c r="F208"/>
  <c r="K207"/>
  <c r="F207"/>
  <c r="K206"/>
  <c r="J206"/>
  <c r="I206"/>
  <c r="H206"/>
  <c r="G206"/>
  <c r="F206"/>
  <c r="E206"/>
  <c r="D206"/>
  <c r="C206"/>
  <c r="B206"/>
  <c r="K205"/>
  <c r="F205"/>
  <c r="K204"/>
  <c r="F204"/>
  <c r="K203"/>
  <c r="F203"/>
  <c r="K202"/>
  <c r="J202"/>
  <c r="I202"/>
  <c r="H202"/>
  <c r="G202"/>
  <c r="F202"/>
  <c r="E202"/>
  <c r="D202"/>
  <c r="C202"/>
  <c r="B202"/>
  <c r="K201"/>
  <c r="J201"/>
  <c r="I201"/>
  <c r="H201"/>
  <c r="G201"/>
  <c r="F201"/>
  <c r="E201"/>
  <c r="D201"/>
  <c r="C201"/>
  <c r="B201"/>
  <c r="K199"/>
  <c r="F199"/>
  <c r="K198"/>
  <c r="F198"/>
  <c r="K197"/>
  <c r="J197"/>
  <c r="I197"/>
  <c r="H197"/>
  <c r="G197"/>
  <c r="F197"/>
  <c r="E197"/>
  <c r="D197"/>
  <c r="C197"/>
  <c r="B197"/>
  <c r="K196"/>
  <c r="F196"/>
  <c r="H195"/>
  <c r="G195"/>
  <c r="K195" s="1"/>
  <c r="K193" s="1"/>
  <c r="K192" s="1"/>
  <c r="F195"/>
  <c r="K194"/>
  <c r="F194"/>
  <c r="J193"/>
  <c r="I193"/>
  <c r="H193"/>
  <c r="G193"/>
  <c r="F193"/>
  <c r="E193"/>
  <c r="D193"/>
  <c r="C193"/>
  <c r="B193"/>
  <c r="J192"/>
  <c r="I192"/>
  <c r="H192"/>
  <c r="G192"/>
  <c r="F192"/>
  <c r="E192"/>
  <c r="D192"/>
  <c r="C192"/>
  <c r="B192"/>
  <c r="K190"/>
  <c r="F190"/>
  <c r="K189"/>
  <c r="F189"/>
  <c r="K188"/>
  <c r="J188"/>
  <c r="I188"/>
  <c r="H188"/>
  <c r="G188"/>
  <c r="F188"/>
  <c r="E188"/>
  <c r="D188"/>
  <c r="C188"/>
  <c r="B188"/>
  <c r="K187"/>
  <c r="F187"/>
  <c r="K186"/>
  <c r="F186"/>
  <c r="K185"/>
  <c r="F185"/>
  <c r="K184"/>
  <c r="J184"/>
  <c r="I184"/>
  <c r="H184"/>
  <c r="G184"/>
  <c r="F184"/>
  <c r="E184"/>
  <c r="D184"/>
  <c r="C184"/>
  <c r="B184"/>
  <c r="K183"/>
  <c r="J183"/>
  <c r="I183"/>
  <c r="H183"/>
  <c r="G183"/>
  <c r="F183"/>
  <c r="E183"/>
  <c r="D183"/>
  <c r="C183"/>
  <c r="B183"/>
  <c r="K181"/>
  <c r="F181"/>
  <c r="K180"/>
  <c r="F180"/>
  <c r="K179"/>
  <c r="J179"/>
  <c r="I179"/>
  <c r="H179"/>
  <c r="G179"/>
  <c r="F179"/>
  <c r="E179"/>
  <c r="D179"/>
  <c r="C179"/>
  <c r="B179"/>
  <c r="K178"/>
  <c r="F178"/>
  <c r="K177"/>
  <c r="F177"/>
  <c r="K176"/>
  <c r="F176"/>
  <c r="K175"/>
  <c r="J175"/>
  <c r="I175"/>
  <c r="H175"/>
  <c r="G175"/>
  <c r="F175"/>
  <c r="E175"/>
  <c r="D175"/>
  <c r="C175"/>
  <c r="B175"/>
  <c r="K174"/>
  <c r="J174"/>
  <c r="I174"/>
  <c r="H174"/>
  <c r="G174"/>
  <c r="F174"/>
  <c r="E174"/>
  <c r="D174"/>
  <c r="C174"/>
  <c r="B174"/>
  <c r="K172"/>
  <c r="F172"/>
  <c r="K171"/>
  <c r="F171"/>
  <c r="K170"/>
  <c r="J170"/>
  <c r="I170"/>
  <c r="H170"/>
  <c r="G170"/>
  <c r="F170"/>
  <c r="E170"/>
  <c r="D170"/>
  <c r="C170"/>
  <c r="B170"/>
  <c r="K169"/>
  <c r="F169"/>
  <c r="K168"/>
  <c r="F168"/>
  <c r="J167"/>
  <c r="H167"/>
  <c r="G167"/>
  <c r="K167" s="1"/>
  <c r="K166" s="1"/>
  <c r="K165" s="1"/>
  <c r="F167"/>
  <c r="J166"/>
  <c r="I166"/>
  <c r="H166"/>
  <c r="G166"/>
  <c r="F166"/>
  <c r="E166"/>
  <c r="D166"/>
  <c r="C166"/>
  <c r="B166"/>
  <c r="J165"/>
  <c r="I165"/>
  <c r="H165"/>
  <c r="G165"/>
  <c r="F165"/>
  <c r="E165"/>
  <c r="D165"/>
  <c r="C165"/>
  <c r="B165"/>
  <c r="K163"/>
  <c r="F163"/>
  <c r="K162"/>
  <c r="F162"/>
  <c r="K161"/>
  <c r="J161"/>
  <c r="I161"/>
  <c r="H161"/>
  <c r="G161"/>
  <c r="F161"/>
  <c r="E161"/>
  <c r="D161"/>
  <c r="C161"/>
  <c r="B161"/>
  <c r="K160"/>
  <c r="F160"/>
  <c r="K159"/>
  <c r="F159"/>
  <c r="K158"/>
  <c r="F158"/>
  <c r="K157"/>
  <c r="J157"/>
  <c r="I157"/>
  <c r="H157"/>
  <c r="G157"/>
  <c r="F157"/>
  <c r="E157"/>
  <c r="D157"/>
  <c r="C157"/>
  <c r="B157"/>
  <c r="K156"/>
  <c r="J156"/>
  <c r="I156"/>
  <c r="H156"/>
  <c r="G156"/>
  <c r="F156"/>
  <c r="E156"/>
  <c r="D156"/>
  <c r="C156"/>
  <c r="B156"/>
  <c r="K154"/>
  <c r="F154"/>
  <c r="K153"/>
  <c r="F153"/>
  <c r="K152"/>
  <c r="J152"/>
  <c r="I152"/>
  <c r="H152"/>
  <c r="G152"/>
  <c r="F152"/>
  <c r="E152"/>
  <c r="D152"/>
  <c r="C152"/>
  <c r="B152"/>
  <c r="G151"/>
  <c r="K151" s="1"/>
  <c r="F151"/>
  <c r="G150"/>
  <c r="K150" s="1"/>
  <c r="F150"/>
  <c r="H149"/>
  <c r="G149"/>
  <c r="K149" s="1"/>
  <c r="F149"/>
  <c r="J148"/>
  <c r="I148"/>
  <c r="H148"/>
  <c r="G148"/>
  <c r="F148"/>
  <c r="E148"/>
  <c r="D148"/>
  <c r="C148"/>
  <c r="B148"/>
  <c r="J147"/>
  <c r="I147"/>
  <c r="H147"/>
  <c r="G147"/>
  <c r="F147"/>
  <c r="E147"/>
  <c r="D147"/>
  <c r="C147"/>
  <c r="B147"/>
  <c r="K145"/>
  <c r="F145"/>
  <c r="K144"/>
  <c r="F144"/>
  <c r="K143"/>
  <c r="J143"/>
  <c r="I143"/>
  <c r="H143"/>
  <c r="G143"/>
  <c r="F143"/>
  <c r="E143"/>
  <c r="D143"/>
  <c r="C143"/>
  <c r="B143"/>
  <c r="K142"/>
  <c r="C142"/>
  <c r="F142" s="1"/>
  <c r="K141"/>
  <c r="F141"/>
  <c r="G140"/>
  <c r="K140" s="1"/>
  <c r="K139" s="1"/>
  <c r="K138" s="1"/>
  <c r="C140"/>
  <c r="F140" s="1"/>
  <c r="F139" s="1"/>
  <c r="F138" s="1"/>
  <c r="J139"/>
  <c r="I139"/>
  <c r="H139"/>
  <c r="G139"/>
  <c r="E139"/>
  <c r="D139"/>
  <c r="C139"/>
  <c r="B139"/>
  <c r="J138"/>
  <c r="I138"/>
  <c r="H138"/>
  <c r="G138"/>
  <c r="E138"/>
  <c r="D138"/>
  <c r="C138"/>
  <c r="B138"/>
  <c r="K136"/>
  <c r="F136"/>
  <c r="H135"/>
  <c r="K135" s="1"/>
  <c r="K134" s="1"/>
  <c r="F135"/>
  <c r="J134"/>
  <c r="I134"/>
  <c r="H134"/>
  <c r="G134"/>
  <c r="F134"/>
  <c r="E134"/>
  <c r="D134"/>
  <c r="C134"/>
  <c r="B134"/>
  <c r="K133"/>
  <c r="F133"/>
  <c r="H132"/>
  <c r="K132" s="1"/>
  <c r="F132"/>
  <c r="H131"/>
  <c r="G131"/>
  <c r="K131" s="1"/>
  <c r="F131"/>
  <c r="J130"/>
  <c r="I130"/>
  <c r="H130"/>
  <c r="G130"/>
  <c r="F130"/>
  <c r="E130"/>
  <c r="D130"/>
  <c r="C130"/>
  <c r="B130"/>
  <c r="J129"/>
  <c r="I129"/>
  <c r="H129"/>
  <c r="G129"/>
  <c r="F129"/>
  <c r="E129"/>
  <c r="D129"/>
  <c r="C129"/>
  <c r="B129"/>
  <c r="K127"/>
  <c r="F127"/>
  <c r="K126"/>
  <c r="F126"/>
  <c r="K125"/>
  <c r="J125"/>
  <c r="I125"/>
  <c r="H125"/>
  <c r="G125"/>
  <c r="F125"/>
  <c r="E125"/>
  <c r="D125"/>
  <c r="C125"/>
  <c r="B125"/>
  <c r="K124"/>
  <c r="F124"/>
  <c r="K123"/>
  <c r="F123"/>
  <c r="K122"/>
  <c r="F122"/>
  <c r="K121"/>
  <c r="J121"/>
  <c r="I121"/>
  <c r="H121"/>
  <c r="G121"/>
  <c r="F121"/>
  <c r="E121"/>
  <c r="D121"/>
  <c r="C121"/>
  <c r="B121"/>
  <c r="K120"/>
  <c r="J120"/>
  <c r="I120"/>
  <c r="H120"/>
  <c r="G120"/>
  <c r="F120"/>
  <c r="E120"/>
  <c r="D120"/>
  <c r="C120"/>
  <c r="B120"/>
  <c r="K118"/>
  <c r="F118"/>
  <c r="K117"/>
  <c r="F117"/>
  <c r="K116"/>
  <c r="J116"/>
  <c r="I116"/>
  <c r="H116"/>
  <c r="G116"/>
  <c r="F116"/>
  <c r="E116"/>
  <c r="D116"/>
  <c r="C116"/>
  <c r="B116"/>
  <c r="K115"/>
  <c r="F115"/>
  <c r="K114"/>
  <c r="F114"/>
  <c r="K113"/>
  <c r="F113"/>
  <c r="K112"/>
  <c r="J112"/>
  <c r="I112"/>
  <c r="H112"/>
  <c r="G112"/>
  <c r="F112"/>
  <c r="E112"/>
  <c r="D112"/>
  <c r="C112"/>
  <c r="B112"/>
  <c r="K111"/>
  <c r="J111"/>
  <c r="I111"/>
  <c r="H111"/>
  <c r="G111"/>
  <c r="F111"/>
  <c r="E111"/>
  <c r="D111"/>
  <c r="C111"/>
  <c r="B111"/>
  <c r="K109"/>
  <c r="F109"/>
  <c r="K108"/>
  <c r="F108"/>
  <c r="K107"/>
  <c r="J107"/>
  <c r="I107"/>
  <c r="H107"/>
  <c r="G107"/>
  <c r="F107"/>
  <c r="E107"/>
  <c r="D107"/>
  <c r="C107"/>
  <c r="B107"/>
  <c r="K106"/>
  <c r="F106"/>
  <c r="G105"/>
  <c r="K105" s="1"/>
  <c r="F105"/>
  <c r="G104"/>
  <c r="K104" s="1"/>
  <c r="K103" s="1"/>
  <c r="K102" s="1"/>
  <c r="F104"/>
  <c r="J103"/>
  <c r="I103"/>
  <c r="H103"/>
  <c r="G103"/>
  <c r="F103"/>
  <c r="E103"/>
  <c r="D103"/>
  <c r="C103"/>
  <c r="B103"/>
  <c r="J102"/>
  <c r="I102"/>
  <c r="H102"/>
  <c r="G102"/>
  <c r="F102"/>
  <c r="E102"/>
  <c r="D102"/>
  <c r="C102"/>
  <c r="B102"/>
  <c r="K100"/>
  <c r="F100"/>
  <c r="K99"/>
  <c r="F99"/>
  <c r="K98"/>
  <c r="J98"/>
  <c r="I98"/>
  <c r="H98"/>
  <c r="G98"/>
  <c r="F98"/>
  <c r="E98"/>
  <c r="D98"/>
  <c r="C98"/>
  <c r="B98"/>
  <c r="H97"/>
  <c r="G97"/>
  <c r="K97" s="1"/>
  <c r="K94" s="1"/>
  <c r="K93" s="1"/>
  <c r="K92" s="1"/>
  <c r="F97"/>
  <c r="K96"/>
  <c r="G96"/>
  <c r="F96"/>
  <c r="K95"/>
  <c r="F95"/>
  <c r="J94"/>
  <c r="I94"/>
  <c r="H94"/>
  <c r="G94"/>
  <c r="F94"/>
  <c r="E94"/>
  <c r="D94"/>
  <c r="C94"/>
  <c r="B94"/>
  <c r="J93"/>
  <c r="I93"/>
  <c r="H93"/>
  <c r="G93"/>
  <c r="F93"/>
  <c r="E93"/>
  <c r="D93"/>
  <c r="C93"/>
  <c r="B93"/>
  <c r="K91"/>
  <c r="F91"/>
  <c r="K90"/>
  <c r="F90"/>
  <c r="K89"/>
  <c r="J89"/>
  <c r="I89"/>
  <c r="H89"/>
  <c r="G89"/>
  <c r="F89"/>
  <c r="E89"/>
  <c r="D89"/>
  <c r="C89"/>
  <c r="B89"/>
  <c r="K88"/>
  <c r="F88"/>
  <c r="K87"/>
  <c r="G87"/>
  <c r="F87"/>
  <c r="G86"/>
  <c r="K86" s="1"/>
  <c r="K85" s="1"/>
  <c r="K84" s="1"/>
  <c r="F86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K82"/>
  <c r="F82"/>
  <c r="K81"/>
  <c r="F81"/>
  <c r="K80"/>
  <c r="J80"/>
  <c r="I80"/>
  <c r="H80"/>
  <c r="G80"/>
  <c r="F80"/>
  <c r="E80"/>
  <c r="D80"/>
  <c r="C80"/>
  <c r="K79"/>
  <c r="F79"/>
  <c r="G78"/>
  <c r="K78" s="1"/>
  <c r="K76" s="1"/>
  <c r="K75" s="1"/>
  <c r="F78"/>
  <c r="K77"/>
  <c r="F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K73"/>
  <c r="F73"/>
  <c r="K72"/>
  <c r="F72"/>
  <c r="K71"/>
  <c r="J71"/>
  <c r="I71"/>
  <c r="H71"/>
  <c r="G71"/>
  <c r="F71"/>
  <c r="E71"/>
  <c r="D71"/>
  <c r="C71"/>
  <c r="B71"/>
  <c r="K70"/>
  <c r="F70"/>
  <c r="K69"/>
  <c r="F69"/>
  <c r="K68"/>
  <c r="F68"/>
  <c r="K67"/>
  <c r="J67"/>
  <c r="I67"/>
  <c r="H67"/>
  <c r="G67"/>
  <c r="F67"/>
  <c r="E67"/>
  <c r="D67"/>
  <c r="C67"/>
  <c r="B67"/>
  <c r="K66"/>
  <c r="J66"/>
  <c r="I66"/>
  <c r="H66"/>
  <c r="G66"/>
  <c r="F66"/>
  <c r="E66"/>
  <c r="D66"/>
  <c r="C66"/>
  <c r="B66"/>
  <c r="K64"/>
  <c r="F64"/>
  <c r="K63"/>
  <c r="F63"/>
  <c r="K62"/>
  <c r="J62"/>
  <c r="I62"/>
  <c r="H62"/>
  <c r="G62"/>
  <c r="F62"/>
  <c r="E62"/>
  <c r="D62"/>
  <c r="C62"/>
  <c r="B62"/>
  <c r="K61"/>
  <c r="F61"/>
  <c r="K60"/>
  <c r="F60"/>
  <c r="K59"/>
  <c r="F59"/>
  <c r="K58"/>
  <c r="J58"/>
  <c r="I58"/>
  <c r="H58"/>
  <c r="G58"/>
  <c r="F58"/>
  <c r="E58"/>
  <c r="D58"/>
  <c r="C58"/>
  <c r="B58"/>
  <c r="K57"/>
  <c r="J57"/>
  <c r="I57"/>
  <c r="H57"/>
  <c r="G57"/>
  <c r="F57"/>
  <c r="E57"/>
  <c r="D57"/>
  <c r="C57"/>
  <c r="B57"/>
  <c r="K55"/>
  <c r="F55"/>
  <c r="K54"/>
  <c r="K53" s="1"/>
  <c r="H54"/>
  <c r="F54"/>
  <c r="J53"/>
  <c r="I53"/>
  <c r="H53"/>
  <c r="G53"/>
  <c r="F53"/>
  <c r="E53"/>
  <c r="D53"/>
  <c r="C53"/>
  <c r="B53"/>
  <c r="K52"/>
  <c r="F52"/>
  <c r="J51"/>
  <c r="H51"/>
  <c r="K51" s="1"/>
  <c r="K48" s="1"/>
  <c r="K47" s="1"/>
  <c r="F51"/>
  <c r="K50"/>
  <c r="F50"/>
  <c r="K49"/>
  <c r="F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K45"/>
  <c r="F45"/>
  <c r="K44"/>
  <c r="F44"/>
  <c r="K43"/>
  <c r="J43"/>
  <c r="I43"/>
  <c r="H43"/>
  <c r="G43"/>
  <c r="F43"/>
  <c r="E43"/>
  <c r="D43"/>
  <c r="C43"/>
  <c r="B43"/>
  <c r="K42"/>
  <c r="F42"/>
  <c r="K41"/>
  <c r="F41"/>
  <c r="J40"/>
  <c r="H40"/>
  <c r="G40"/>
  <c r="K40" s="1"/>
  <c r="K39" s="1"/>
  <c r="K38" s="1"/>
  <c r="F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K36"/>
  <c r="F36"/>
  <c r="K35"/>
  <c r="F35"/>
  <c r="K34"/>
  <c r="J34"/>
  <c r="I34"/>
  <c r="H34"/>
  <c r="G34"/>
  <c r="F34"/>
  <c r="E34"/>
  <c r="D34"/>
  <c r="C34"/>
  <c r="B34"/>
  <c r="K33"/>
  <c r="F33"/>
  <c r="K32"/>
  <c r="F32"/>
  <c r="K31"/>
  <c r="F31"/>
  <c r="K30"/>
  <c r="J30"/>
  <c r="I30"/>
  <c r="H30"/>
  <c r="G30"/>
  <c r="F30"/>
  <c r="E30"/>
  <c r="D30"/>
  <c r="C30"/>
  <c r="B30"/>
  <c r="K29"/>
  <c r="J29"/>
  <c r="I29"/>
  <c r="H29"/>
  <c r="G29"/>
  <c r="F29"/>
  <c r="E29"/>
  <c r="D29"/>
  <c r="C29"/>
  <c r="B29"/>
  <c r="K27"/>
  <c r="F27"/>
  <c r="K26"/>
  <c r="F26"/>
  <c r="K25"/>
  <c r="J25"/>
  <c r="H25"/>
  <c r="G25"/>
  <c r="F25"/>
  <c r="E25"/>
  <c r="D25"/>
  <c r="C25"/>
  <c r="B25"/>
  <c r="K24"/>
  <c r="F24"/>
  <c r="K23"/>
  <c r="F23"/>
  <c r="K22"/>
  <c r="F22"/>
  <c r="K21"/>
  <c r="J21"/>
  <c r="H21"/>
  <c r="G21"/>
  <c r="F21"/>
  <c r="E21"/>
  <c r="D21"/>
  <c r="C21"/>
  <c r="B21"/>
  <c r="K20"/>
  <c r="J20"/>
  <c r="H20"/>
  <c r="G20"/>
  <c r="F20"/>
  <c r="E20"/>
  <c r="D20"/>
  <c r="C20"/>
  <c r="B20"/>
  <c r="K80" i="24"/>
  <c r="F80"/>
  <c r="K79"/>
  <c r="F79"/>
  <c r="K78"/>
  <c r="J78"/>
  <c r="I78"/>
  <c r="H78"/>
  <c r="H73" s="1"/>
  <c r="G78"/>
  <c r="F78"/>
  <c r="E78"/>
  <c r="D78"/>
  <c r="D73" s="1"/>
  <c r="C78"/>
  <c r="B78"/>
  <c r="B73" s="1"/>
  <c r="K77"/>
  <c r="F77"/>
  <c r="K76"/>
  <c r="F76"/>
  <c r="F74" s="1"/>
  <c r="F73" s="1"/>
  <c r="J75"/>
  <c r="J74" s="1"/>
  <c r="J73" s="1"/>
  <c r="H75"/>
  <c r="G75"/>
  <c r="K75" s="1"/>
  <c r="K74" s="1"/>
  <c r="K73" s="1"/>
  <c r="F75"/>
  <c r="I74"/>
  <c r="H74"/>
  <c r="G74"/>
  <c r="E74"/>
  <c r="D74"/>
  <c r="C74"/>
  <c r="B74"/>
  <c r="I73"/>
  <c r="G73"/>
  <c r="E73"/>
  <c r="C73"/>
  <c r="K71"/>
  <c r="F71"/>
  <c r="K70"/>
  <c r="F70"/>
  <c r="K69"/>
  <c r="J69"/>
  <c r="I69"/>
  <c r="H69"/>
  <c r="G69"/>
  <c r="F69"/>
  <c r="E69"/>
  <c r="D69"/>
  <c r="C69"/>
  <c r="B69"/>
  <c r="K68"/>
  <c r="F68"/>
  <c r="K67"/>
  <c r="F67"/>
  <c r="K66"/>
  <c r="F66"/>
  <c r="K65"/>
  <c r="J65"/>
  <c r="I65"/>
  <c r="H65"/>
  <c r="G65"/>
  <c r="F65"/>
  <c r="E65"/>
  <c r="D65"/>
  <c r="C65"/>
  <c r="B65"/>
  <c r="K64"/>
  <c r="J64"/>
  <c r="I64"/>
  <c r="H64"/>
  <c r="G64"/>
  <c r="F64"/>
  <c r="E64"/>
  <c r="D64"/>
  <c r="C64"/>
  <c r="B64"/>
  <c r="K62"/>
  <c r="F62"/>
  <c r="K61"/>
  <c r="F61"/>
  <c r="K60"/>
  <c r="J60"/>
  <c r="I60"/>
  <c r="H60"/>
  <c r="G60"/>
  <c r="F60"/>
  <c r="E60"/>
  <c r="D60"/>
  <c r="C60"/>
  <c r="B60"/>
  <c r="K59"/>
  <c r="F59"/>
  <c r="K58"/>
  <c r="F58"/>
  <c r="H57"/>
  <c r="G57"/>
  <c r="K57" s="1"/>
  <c r="K56" s="1"/>
  <c r="K55" s="1"/>
  <c r="F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K53"/>
  <c r="F53"/>
  <c r="K52"/>
  <c r="F52"/>
  <c r="K51"/>
  <c r="J51"/>
  <c r="H51"/>
  <c r="G51"/>
  <c r="F51"/>
  <c r="E51"/>
  <c r="D51"/>
  <c r="C51"/>
  <c r="B51"/>
  <c r="G50"/>
  <c r="K50" s="1"/>
  <c r="F50"/>
  <c r="K49"/>
  <c r="G49"/>
  <c r="F49"/>
  <c r="H48"/>
  <c r="H47" s="1"/>
  <c r="H46" s="1"/>
  <c r="G48"/>
  <c r="K48" s="1"/>
  <c r="K47" s="1"/>
  <c r="K46" s="1"/>
  <c r="F48"/>
  <c r="F47" s="1"/>
  <c r="F46" s="1"/>
  <c r="J47"/>
  <c r="J46" s="1"/>
  <c r="G47"/>
  <c r="G46" s="1"/>
  <c r="E47"/>
  <c r="E46" s="1"/>
  <c r="D47"/>
  <c r="C47"/>
  <c r="C46" s="1"/>
  <c r="B47"/>
  <c r="D46"/>
  <c r="B46"/>
  <c r="K44"/>
  <c r="F44"/>
  <c r="K43"/>
  <c r="F43"/>
  <c r="K42"/>
  <c r="J42"/>
  <c r="I42"/>
  <c r="H42"/>
  <c r="G42"/>
  <c r="F42"/>
  <c r="E42"/>
  <c r="D42"/>
  <c r="C42"/>
  <c r="B42"/>
  <c r="K41"/>
  <c r="F41"/>
  <c r="G40"/>
  <c r="K40" s="1"/>
  <c r="F40"/>
  <c r="F39"/>
  <c r="J38"/>
  <c r="I38"/>
  <c r="H38"/>
  <c r="F38"/>
  <c r="E38"/>
  <c r="D38"/>
  <c r="C38"/>
  <c r="B38"/>
  <c r="J37"/>
  <c r="I37"/>
  <c r="H37"/>
  <c r="F37"/>
  <c r="E37"/>
  <c r="D37"/>
  <c r="C37"/>
  <c r="B37"/>
  <c r="K35"/>
  <c r="F35"/>
  <c r="K34"/>
  <c r="F34"/>
  <c r="K33"/>
  <c r="J33"/>
  <c r="I33"/>
  <c r="H33"/>
  <c r="G33"/>
  <c r="F33"/>
  <c r="E33"/>
  <c r="D33"/>
  <c r="C33"/>
  <c r="B33"/>
  <c r="K32"/>
  <c r="F32"/>
  <c r="G31"/>
  <c r="K31" s="1"/>
  <c r="F31"/>
  <c r="F30"/>
  <c r="J29"/>
  <c r="I29"/>
  <c r="H29"/>
  <c r="F29"/>
  <c r="E29"/>
  <c r="D29"/>
  <c r="C29"/>
  <c r="B29"/>
  <c r="J28"/>
  <c r="I28"/>
  <c r="H28"/>
  <c r="F28"/>
  <c r="E28"/>
  <c r="D28"/>
  <c r="C28"/>
  <c r="B28"/>
  <c r="K26"/>
  <c r="F26"/>
  <c r="K25"/>
  <c r="F25"/>
  <c r="K24"/>
  <c r="J24"/>
  <c r="I24"/>
  <c r="H24"/>
  <c r="G24"/>
  <c r="F24"/>
  <c r="E24"/>
  <c r="D24"/>
  <c r="C24"/>
  <c r="B24"/>
  <c r="K23"/>
  <c r="F23"/>
  <c r="G22"/>
  <c r="K22" s="1"/>
  <c r="F22"/>
  <c r="K21"/>
  <c r="K20" s="1"/>
  <c r="K19" s="1"/>
  <c r="H21"/>
  <c r="F21"/>
  <c r="J20"/>
  <c r="I20"/>
  <c r="H20"/>
  <c r="F20"/>
  <c r="E20"/>
  <c r="D20"/>
  <c r="C20"/>
  <c r="B20"/>
  <c r="J19"/>
  <c r="I19"/>
  <c r="H19"/>
  <c r="F19"/>
  <c r="E19"/>
  <c r="D19"/>
  <c r="C19"/>
  <c r="B19"/>
  <c r="B29" i="23"/>
  <c r="C29"/>
  <c r="D29"/>
  <c r="E29"/>
  <c r="G29"/>
  <c r="H29"/>
  <c r="I29"/>
  <c r="J29"/>
  <c r="F30"/>
  <c r="K30"/>
  <c r="L30"/>
  <c r="M30"/>
  <c r="P30" s="1"/>
  <c r="N30"/>
  <c r="N29" s="1"/>
  <c r="N28" s="1"/>
  <c r="O30"/>
  <c r="O29" s="1"/>
  <c r="F31"/>
  <c r="K31"/>
  <c r="L31"/>
  <c r="P31" s="1"/>
  <c r="M31"/>
  <c r="O31"/>
  <c r="F32"/>
  <c r="K32"/>
  <c r="L32"/>
  <c r="P32" s="1"/>
  <c r="M32"/>
  <c r="O32"/>
  <c r="B33"/>
  <c r="C33"/>
  <c r="D33"/>
  <c r="E33"/>
  <c r="G33"/>
  <c r="H33"/>
  <c r="I33"/>
  <c r="J33"/>
  <c r="F34"/>
  <c r="K34"/>
  <c r="L34"/>
  <c r="M34"/>
  <c r="O34"/>
  <c r="O33" s="1"/>
  <c r="F35"/>
  <c r="K35"/>
  <c r="L35"/>
  <c r="P35" s="1"/>
  <c r="M35"/>
  <c r="O35"/>
  <c r="K80"/>
  <c r="F80"/>
  <c r="K79"/>
  <c r="F79"/>
  <c r="K78"/>
  <c r="J78"/>
  <c r="I78"/>
  <c r="H78"/>
  <c r="G78"/>
  <c r="F78"/>
  <c r="E78"/>
  <c r="D78"/>
  <c r="C78"/>
  <c r="B78"/>
  <c r="K77"/>
  <c r="F77"/>
  <c r="K76"/>
  <c r="F76"/>
  <c r="K75"/>
  <c r="F75"/>
  <c r="K74"/>
  <c r="J74"/>
  <c r="I74"/>
  <c r="H74"/>
  <c r="G74"/>
  <c r="F74"/>
  <c r="E74"/>
  <c r="D74"/>
  <c r="C74"/>
  <c r="B74"/>
  <c r="K73"/>
  <c r="J73"/>
  <c r="I73"/>
  <c r="H73"/>
  <c r="G73"/>
  <c r="F73"/>
  <c r="E73"/>
  <c r="D73"/>
  <c r="C73"/>
  <c r="B73"/>
  <c r="K71"/>
  <c r="F71"/>
  <c r="K70"/>
  <c r="F70"/>
  <c r="F69" s="1"/>
  <c r="E70"/>
  <c r="K69"/>
  <c r="J69"/>
  <c r="I69"/>
  <c r="H69"/>
  <c r="G69"/>
  <c r="E69"/>
  <c r="D69"/>
  <c r="C69"/>
  <c r="B69"/>
  <c r="G68"/>
  <c r="K68" s="1"/>
  <c r="F68"/>
  <c r="G67"/>
  <c r="K67" s="1"/>
  <c r="F67"/>
  <c r="F65" s="1"/>
  <c r="G66"/>
  <c r="K66" s="1"/>
  <c r="F66"/>
  <c r="J65"/>
  <c r="I65"/>
  <c r="H65"/>
  <c r="H64" s="1"/>
  <c r="E65"/>
  <c r="D65"/>
  <c r="C65"/>
  <c r="B65"/>
  <c r="J64"/>
  <c r="B64"/>
  <c r="K62"/>
  <c r="F62"/>
  <c r="K61"/>
  <c r="F61"/>
  <c r="K60"/>
  <c r="J60"/>
  <c r="J55" s="1"/>
  <c r="I60"/>
  <c r="H60"/>
  <c r="G60"/>
  <c r="F60"/>
  <c r="E60"/>
  <c r="D60"/>
  <c r="C60"/>
  <c r="B60"/>
  <c r="I59"/>
  <c r="H59"/>
  <c r="K59" s="1"/>
  <c r="F59"/>
  <c r="G58"/>
  <c r="K58" s="1"/>
  <c r="F58"/>
  <c r="K57"/>
  <c r="I57"/>
  <c r="F57"/>
  <c r="F56" s="1"/>
  <c r="F55" s="1"/>
  <c r="J56"/>
  <c r="H56"/>
  <c r="H55" s="1"/>
  <c r="E56"/>
  <c r="E55" s="1"/>
  <c r="D56"/>
  <c r="C56"/>
  <c r="C55" s="1"/>
  <c r="B56"/>
  <c r="B55" s="1"/>
  <c r="D55"/>
  <c r="K53"/>
  <c r="F53"/>
  <c r="K52"/>
  <c r="F52"/>
  <c r="K51"/>
  <c r="J51"/>
  <c r="I51"/>
  <c r="H51"/>
  <c r="G51"/>
  <c r="F51"/>
  <c r="E51"/>
  <c r="D51"/>
  <c r="C51"/>
  <c r="B51"/>
  <c r="K50"/>
  <c r="F50"/>
  <c r="K49"/>
  <c r="F49"/>
  <c r="K48"/>
  <c r="F48"/>
  <c r="K47"/>
  <c r="J47"/>
  <c r="I47"/>
  <c r="H47"/>
  <c r="G47"/>
  <c r="F47"/>
  <c r="E47"/>
  <c r="D47"/>
  <c r="C47"/>
  <c r="B47"/>
  <c r="K46"/>
  <c r="J46"/>
  <c r="I46"/>
  <c r="H46"/>
  <c r="G46"/>
  <c r="F46"/>
  <c r="E46"/>
  <c r="D46"/>
  <c r="C46"/>
  <c r="B46"/>
  <c r="K44"/>
  <c r="F44"/>
  <c r="K43"/>
  <c r="K42" s="1"/>
  <c r="E43"/>
  <c r="E42" s="1"/>
  <c r="C43"/>
  <c r="J42"/>
  <c r="I42"/>
  <c r="H42"/>
  <c r="H37" s="1"/>
  <c r="G42"/>
  <c r="D42"/>
  <c r="B42"/>
  <c r="K41"/>
  <c r="B41"/>
  <c r="F41" s="1"/>
  <c r="K40"/>
  <c r="B40"/>
  <c r="F40" s="1"/>
  <c r="K39"/>
  <c r="C39"/>
  <c r="B39"/>
  <c r="J38"/>
  <c r="I38"/>
  <c r="H38"/>
  <c r="G38"/>
  <c r="E38"/>
  <c r="D38"/>
  <c r="D37" s="1"/>
  <c r="C38"/>
  <c r="J37"/>
  <c r="G37"/>
  <c r="K26"/>
  <c r="F26"/>
  <c r="K25"/>
  <c r="F25"/>
  <c r="F24" s="1"/>
  <c r="K24"/>
  <c r="J24"/>
  <c r="H24"/>
  <c r="G24"/>
  <c r="E24"/>
  <c r="D24"/>
  <c r="C24"/>
  <c r="B24"/>
  <c r="K23"/>
  <c r="F23"/>
  <c r="K22"/>
  <c r="F22"/>
  <c r="K21"/>
  <c r="F21"/>
  <c r="F20" s="1"/>
  <c r="K20"/>
  <c r="J20"/>
  <c r="J19" s="1"/>
  <c r="H20"/>
  <c r="H19" s="1"/>
  <c r="G20"/>
  <c r="G19" s="1"/>
  <c r="E20"/>
  <c r="D20"/>
  <c r="C20"/>
  <c r="B20"/>
  <c r="K19"/>
  <c r="E19"/>
  <c r="D19"/>
  <c r="C19"/>
  <c r="B19"/>
  <c r="K83" i="22"/>
  <c r="F83"/>
  <c r="K82"/>
  <c r="F82"/>
  <c r="K81"/>
  <c r="J81"/>
  <c r="I81"/>
  <c r="H81"/>
  <c r="G81"/>
  <c r="F81"/>
  <c r="E81"/>
  <c r="D81"/>
  <c r="C81"/>
  <c r="B81"/>
  <c r="K80"/>
  <c r="F80"/>
  <c r="K79"/>
  <c r="F79"/>
  <c r="K78"/>
  <c r="F78"/>
  <c r="K77"/>
  <c r="J77"/>
  <c r="I77"/>
  <c r="H77"/>
  <c r="G77"/>
  <c r="F77"/>
  <c r="E77"/>
  <c r="D77"/>
  <c r="C77"/>
  <c r="B77"/>
  <c r="K76"/>
  <c r="J76"/>
  <c r="I76"/>
  <c r="H76"/>
  <c r="G76"/>
  <c r="F76"/>
  <c r="E76"/>
  <c r="D76"/>
  <c r="C76"/>
  <c r="B76"/>
  <c r="K74"/>
  <c r="F74"/>
  <c r="K73"/>
  <c r="F73"/>
  <c r="K72"/>
  <c r="J72"/>
  <c r="I72"/>
  <c r="H72"/>
  <c r="G72"/>
  <c r="F72"/>
  <c r="E72"/>
  <c r="D72"/>
  <c r="C72"/>
  <c r="B72"/>
  <c r="K71"/>
  <c r="F71"/>
  <c r="K70"/>
  <c r="F70"/>
  <c r="K69"/>
  <c r="F69"/>
  <c r="K68"/>
  <c r="J68"/>
  <c r="I68"/>
  <c r="H68"/>
  <c r="G68"/>
  <c r="F68"/>
  <c r="E68"/>
  <c r="D68"/>
  <c r="C68"/>
  <c r="B68"/>
  <c r="K67"/>
  <c r="J67"/>
  <c r="I67"/>
  <c r="H67"/>
  <c r="G67"/>
  <c r="F67"/>
  <c r="E67"/>
  <c r="D67"/>
  <c r="C67"/>
  <c r="B67"/>
  <c r="K65"/>
  <c r="F65"/>
  <c r="K64"/>
  <c r="F64"/>
  <c r="K63"/>
  <c r="J63"/>
  <c r="I63"/>
  <c r="H63"/>
  <c r="G63"/>
  <c r="F63"/>
  <c r="E63"/>
  <c r="D63"/>
  <c r="C63"/>
  <c r="B63"/>
  <c r="G62"/>
  <c r="K62" s="1"/>
  <c r="F62"/>
  <c r="K61"/>
  <c r="K59" s="1"/>
  <c r="K58" s="1"/>
  <c r="G61"/>
  <c r="F61"/>
  <c r="K60"/>
  <c r="F60"/>
  <c r="J59"/>
  <c r="I59"/>
  <c r="H59"/>
  <c r="F59"/>
  <c r="E59"/>
  <c r="D59"/>
  <c r="C59"/>
  <c r="B59"/>
  <c r="J58"/>
  <c r="I58"/>
  <c r="H58"/>
  <c r="F58"/>
  <c r="E58"/>
  <c r="D58"/>
  <c r="C58"/>
  <c r="B58"/>
  <c r="K56"/>
  <c r="F56"/>
  <c r="K55"/>
  <c r="F55"/>
  <c r="K54"/>
  <c r="J54"/>
  <c r="I54"/>
  <c r="H54"/>
  <c r="G54"/>
  <c r="F54"/>
  <c r="E54"/>
  <c r="D54"/>
  <c r="C54"/>
  <c r="B54"/>
  <c r="K53"/>
  <c r="F53"/>
  <c r="K52"/>
  <c r="F52"/>
  <c r="K51"/>
  <c r="F51"/>
  <c r="K50"/>
  <c r="J50"/>
  <c r="I50"/>
  <c r="H50"/>
  <c r="G50"/>
  <c r="F50"/>
  <c r="E50"/>
  <c r="D50"/>
  <c r="C50"/>
  <c r="B50"/>
  <c r="K49"/>
  <c r="J49"/>
  <c r="I49"/>
  <c r="H49"/>
  <c r="G49"/>
  <c r="F49"/>
  <c r="E49"/>
  <c r="D49"/>
  <c r="C49"/>
  <c r="B49"/>
  <c r="K47"/>
  <c r="F47"/>
  <c r="K46"/>
  <c r="F46"/>
  <c r="K45"/>
  <c r="J45"/>
  <c r="I45"/>
  <c r="H45"/>
  <c r="G45"/>
  <c r="F45"/>
  <c r="E45"/>
  <c r="D45"/>
  <c r="C45"/>
  <c r="B45"/>
  <c r="K44"/>
  <c r="F44"/>
  <c r="K43"/>
  <c r="F43"/>
  <c r="K42"/>
  <c r="F42"/>
  <c r="K41"/>
  <c r="F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7"/>
  <c r="F37"/>
  <c r="K36"/>
  <c r="F36"/>
  <c r="K35"/>
  <c r="J35"/>
  <c r="I35"/>
  <c r="H35"/>
  <c r="G35"/>
  <c r="F35"/>
  <c r="E35"/>
  <c r="D35"/>
  <c r="C35"/>
  <c r="B35"/>
  <c r="K34"/>
  <c r="F34"/>
  <c r="K33"/>
  <c r="F33"/>
  <c r="K32"/>
  <c r="F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8"/>
  <c r="F28"/>
  <c r="K27"/>
  <c r="F27"/>
  <c r="K26"/>
  <c r="J26"/>
  <c r="I26"/>
  <c r="H26"/>
  <c r="G26"/>
  <c r="F26"/>
  <c r="E26"/>
  <c r="D26"/>
  <c r="C26"/>
  <c r="B26"/>
  <c r="K25"/>
  <c r="F25"/>
  <c r="K24"/>
  <c r="F24"/>
  <c r="H23"/>
  <c r="K23" s="1"/>
  <c r="F23"/>
  <c r="K22"/>
  <c r="K21" s="1"/>
  <c r="K20" s="1"/>
  <c r="H22"/>
  <c r="F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K73" i="21"/>
  <c r="F73"/>
  <c r="K72"/>
  <c r="F72"/>
  <c r="K71"/>
  <c r="J71"/>
  <c r="I71"/>
  <c r="H71"/>
  <c r="G71"/>
  <c r="F71"/>
  <c r="E71"/>
  <c r="D71"/>
  <c r="C71"/>
  <c r="B71"/>
  <c r="K70"/>
  <c r="F70"/>
  <c r="K69"/>
  <c r="F69"/>
  <c r="K68"/>
  <c r="F68"/>
  <c r="K67"/>
  <c r="J67"/>
  <c r="I67"/>
  <c r="H67"/>
  <c r="G67"/>
  <c r="F67"/>
  <c r="E67"/>
  <c r="D67"/>
  <c r="C67"/>
  <c r="B67"/>
  <c r="K66"/>
  <c r="J66"/>
  <c r="I66"/>
  <c r="H66"/>
  <c r="G66"/>
  <c r="F66"/>
  <c r="E66"/>
  <c r="D66"/>
  <c r="C66"/>
  <c r="B66"/>
  <c r="K64"/>
  <c r="F64"/>
  <c r="K63"/>
  <c r="F63"/>
  <c r="K62"/>
  <c r="J62"/>
  <c r="I62"/>
  <c r="H62"/>
  <c r="G62"/>
  <c r="F62"/>
  <c r="E62"/>
  <c r="D62"/>
  <c r="C62"/>
  <c r="B62"/>
  <c r="K61"/>
  <c r="F61"/>
  <c r="K60"/>
  <c r="F60"/>
  <c r="K59"/>
  <c r="F59"/>
  <c r="K58"/>
  <c r="J58"/>
  <c r="I58"/>
  <c r="H58"/>
  <c r="G58"/>
  <c r="F58"/>
  <c r="E58"/>
  <c r="D58"/>
  <c r="C58"/>
  <c r="B58"/>
  <c r="K57"/>
  <c r="J57"/>
  <c r="I57"/>
  <c r="H57"/>
  <c r="G57"/>
  <c r="F57"/>
  <c r="E57"/>
  <c r="D57"/>
  <c r="C57"/>
  <c r="B57"/>
  <c r="K55"/>
  <c r="F55"/>
  <c r="K54"/>
  <c r="F54"/>
  <c r="K53"/>
  <c r="J53"/>
  <c r="I53"/>
  <c r="H53"/>
  <c r="G53"/>
  <c r="F53"/>
  <c r="E53"/>
  <c r="D53"/>
  <c r="C53"/>
  <c r="B53"/>
  <c r="K52"/>
  <c r="F52"/>
  <c r="K51"/>
  <c r="F51"/>
  <c r="K50"/>
  <c r="F50"/>
  <c r="K49"/>
  <c r="J49"/>
  <c r="I49"/>
  <c r="H49"/>
  <c r="G49"/>
  <c r="F49"/>
  <c r="E49"/>
  <c r="D49"/>
  <c r="C49"/>
  <c r="B49"/>
  <c r="K48"/>
  <c r="J48"/>
  <c r="I48"/>
  <c r="H48"/>
  <c r="G48"/>
  <c r="F48"/>
  <c r="E48"/>
  <c r="D48"/>
  <c r="C48"/>
  <c r="B48"/>
  <c r="K46"/>
  <c r="F46"/>
  <c r="K45"/>
  <c r="F45"/>
  <c r="K44"/>
  <c r="J44"/>
  <c r="I44"/>
  <c r="H44"/>
  <c r="G44"/>
  <c r="F44"/>
  <c r="E44"/>
  <c r="D44"/>
  <c r="C44"/>
  <c r="B44"/>
  <c r="K43"/>
  <c r="F43"/>
  <c r="K42"/>
  <c r="F42"/>
  <c r="K41"/>
  <c r="F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7"/>
  <c r="F37"/>
  <c r="K36"/>
  <c r="F36"/>
  <c r="K35"/>
  <c r="J35"/>
  <c r="I35"/>
  <c r="H35"/>
  <c r="G35"/>
  <c r="F35"/>
  <c r="E35"/>
  <c r="D35"/>
  <c r="C35"/>
  <c r="B35"/>
  <c r="K34"/>
  <c r="F34"/>
  <c r="K33"/>
  <c r="F33"/>
  <c r="K32"/>
  <c r="F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8"/>
  <c r="F28"/>
  <c r="F26" s="1"/>
  <c r="F20" s="1"/>
  <c r="H27"/>
  <c r="K27" s="1"/>
  <c r="K26" s="1"/>
  <c r="F27"/>
  <c r="J26"/>
  <c r="I26"/>
  <c r="I20" s="1"/>
  <c r="G26"/>
  <c r="G20" s="1"/>
  <c r="E26"/>
  <c r="E20" s="1"/>
  <c r="D26"/>
  <c r="C26"/>
  <c r="C20" s="1"/>
  <c r="B26"/>
  <c r="K25"/>
  <c r="F25"/>
  <c r="K24"/>
  <c r="F24"/>
  <c r="K23"/>
  <c r="K21" s="1"/>
  <c r="K20" s="1"/>
  <c r="H23"/>
  <c r="F23"/>
  <c r="K22"/>
  <c r="F22"/>
  <c r="J21"/>
  <c r="I21"/>
  <c r="H21"/>
  <c r="G21"/>
  <c r="F21"/>
  <c r="E21"/>
  <c r="D21"/>
  <c r="C21"/>
  <c r="B21"/>
  <c r="J20"/>
  <c r="D20"/>
  <c r="B20"/>
  <c r="K44" i="20"/>
  <c r="F44"/>
  <c r="K43"/>
  <c r="F43"/>
  <c r="K42"/>
  <c r="J42"/>
  <c r="H42"/>
  <c r="G42"/>
  <c r="F42"/>
  <c r="E42"/>
  <c r="D42"/>
  <c r="C42"/>
  <c r="B42"/>
  <c r="G41"/>
  <c r="K41" s="1"/>
  <c r="F41"/>
  <c r="K40"/>
  <c r="F40"/>
  <c r="K39"/>
  <c r="K38" s="1"/>
  <c r="K37" s="1"/>
  <c r="G39"/>
  <c r="F39"/>
  <c r="F38" s="1"/>
  <c r="F37" s="1"/>
  <c r="J38"/>
  <c r="J37" s="1"/>
  <c r="H38"/>
  <c r="G38"/>
  <c r="G37" s="1"/>
  <c r="E38"/>
  <c r="E37" s="1"/>
  <c r="D38"/>
  <c r="C38"/>
  <c r="C37" s="1"/>
  <c r="B38"/>
  <c r="H37"/>
  <c r="D37"/>
  <c r="B37"/>
  <c r="K35"/>
  <c r="F35"/>
  <c r="K34"/>
  <c r="F34"/>
  <c r="K33"/>
  <c r="J33"/>
  <c r="I33"/>
  <c r="H33"/>
  <c r="G33"/>
  <c r="F33"/>
  <c r="E33"/>
  <c r="D33"/>
  <c r="C33"/>
  <c r="B33"/>
  <c r="K32"/>
  <c r="F32"/>
  <c r="K31"/>
  <c r="F31"/>
  <c r="K30"/>
  <c r="F30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K26"/>
  <c r="F26"/>
  <c r="K25"/>
  <c r="F25"/>
  <c r="K24"/>
  <c r="J24"/>
  <c r="J19" s="1"/>
  <c r="I24"/>
  <c r="H24"/>
  <c r="H19" s="1"/>
  <c r="G24"/>
  <c r="F24"/>
  <c r="E24"/>
  <c r="D24"/>
  <c r="D19" s="1"/>
  <c r="C24"/>
  <c r="B24"/>
  <c r="B19" s="1"/>
  <c r="K23"/>
  <c r="F23"/>
  <c r="F20" s="1"/>
  <c r="F19" s="1"/>
  <c r="G22"/>
  <c r="K22" s="1"/>
  <c r="K20" s="1"/>
  <c r="K19" s="1"/>
  <c r="F22"/>
  <c r="K21"/>
  <c r="F21"/>
  <c r="J20"/>
  <c r="I20"/>
  <c r="H20"/>
  <c r="G20"/>
  <c r="E20"/>
  <c r="D20"/>
  <c r="C20"/>
  <c r="B20"/>
  <c r="I19"/>
  <c r="G19"/>
  <c r="E19"/>
  <c r="C19"/>
  <c r="K19" i="28" l="1"/>
  <c r="D186" i="40"/>
  <c r="C185"/>
  <c r="D313"/>
  <c r="C311"/>
  <c r="D480"/>
  <c r="D478" s="1"/>
  <c r="D477" s="1"/>
  <c r="C478"/>
  <c r="C477" s="1"/>
  <c r="D489"/>
  <c r="D487" s="1"/>
  <c r="C487"/>
  <c r="D871"/>
  <c r="G9"/>
  <c r="D252"/>
  <c r="K270"/>
  <c r="D516"/>
  <c r="D514" s="1"/>
  <c r="C514"/>
  <c r="D570"/>
  <c r="D568" s="1"/>
  <c r="D567" s="1"/>
  <c r="C568"/>
  <c r="C567" s="1"/>
  <c r="D412"/>
  <c r="D394" s="1"/>
  <c r="C394"/>
  <c r="D417"/>
  <c r="C415"/>
  <c r="C414" s="1"/>
  <c r="M434"/>
  <c r="I389"/>
  <c r="L389" s="1"/>
  <c r="C438"/>
  <c r="D438" s="1"/>
  <c r="D437" s="1"/>
  <c r="H437"/>
  <c r="P493"/>
  <c r="M491"/>
  <c r="M486" s="1"/>
  <c r="D526"/>
  <c r="C508"/>
  <c r="P529"/>
  <c r="M527"/>
  <c r="P534"/>
  <c r="M532"/>
  <c r="M531" s="1"/>
  <c r="P555"/>
  <c r="M554"/>
  <c r="D565"/>
  <c r="C563"/>
  <c r="P606"/>
  <c r="M604"/>
  <c r="M603" s="1"/>
  <c r="P614"/>
  <c r="M613"/>
  <c r="M612" s="1"/>
  <c r="C642"/>
  <c r="H640"/>
  <c r="H639" s="1"/>
  <c r="D660"/>
  <c r="C658"/>
  <c r="P663"/>
  <c r="P662" s="1"/>
  <c r="M662"/>
  <c r="M657" s="1"/>
  <c r="D727"/>
  <c r="C709"/>
  <c r="C707" s="1"/>
  <c r="C750"/>
  <c r="D750" s="1"/>
  <c r="H748"/>
  <c r="H747" s="1"/>
  <c r="C789"/>
  <c r="H788"/>
  <c r="M866"/>
  <c r="I865"/>
  <c r="I864" s="1"/>
  <c r="D906"/>
  <c r="H905"/>
  <c r="C907"/>
  <c r="D907" s="1"/>
  <c r="D916"/>
  <c r="D914" s="1"/>
  <c r="D909" s="1"/>
  <c r="C914"/>
  <c r="C909" s="1"/>
  <c r="N951"/>
  <c r="F950"/>
  <c r="L951"/>
  <c r="I950"/>
  <c r="D975"/>
  <c r="C973"/>
  <c r="C972" s="1"/>
  <c r="I991"/>
  <c r="I947"/>
  <c r="I946" s="1"/>
  <c r="I945" s="1"/>
  <c r="M993"/>
  <c r="L993"/>
  <c r="I948"/>
  <c r="D1006"/>
  <c r="C1004"/>
  <c r="N1037"/>
  <c r="N1036" s="1"/>
  <c r="N1035" s="1"/>
  <c r="J1019"/>
  <c r="J1018" s="1"/>
  <c r="J1017" s="1"/>
  <c r="L1038"/>
  <c r="I1020"/>
  <c r="M1074"/>
  <c r="I1065"/>
  <c r="L1065" s="1"/>
  <c r="P1104"/>
  <c r="M1103"/>
  <c r="M1137"/>
  <c r="I1135"/>
  <c r="I1134" s="1"/>
  <c r="L1163"/>
  <c r="I1162"/>
  <c r="I1161" s="1"/>
  <c r="D1164"/>
  <c r="D1162" s="1"/>
  <c r="D1161" s="1"/>
  <c r="C1162"/>
  <c r="C1161" s="1"/>
  <c r="N447"/>
  <c r="F446"/>
  <c r="L447"/>
  <c r="I446"/>
  <c r="I441" s="1"/>
  <c r="P474"/>
  <c r="M473"/>
  <c r="C519"/>
  <c r="D519" s="1"/>
  <c r="D518" s="1"/>
  <c r="H518"/>
  <c r="M524"/>
  <c r="I523"/>
  <c r="I522" s="1"/>
  <c r="P623"/>
  <c r="M622"/>
  <c r="M621" s="1"/>
  <c r="L641"/>
  <c r="L640" s="1"/>
  <c r="L639" s="1"/>
  <c r="I596"/>
  <c r="I595" s="1"/>
  <c r="C654"/>
  <c r="H653"/>
  <c r="C691"/>
  <c r="H689"/>
  <c r="P695"/>
  <c r="N694"/>
  <c r="C732"/>
  <c r="D732" s="1"/>
  <c r="D730" s="1"/>
  <c r="D729" s="1"/>
  <c r="H730"/>
  <c r="H729" s="1"/>
  <c r="L741"/>
  <c r="I739"/>
  <c r="P776"/>
  <c r="M775"/>
  <c r="D840"/>
  <c r="C838"/>
  <c r="C852"/>
  <c r="H851"/>
  <c r="M894"/>
  <c r="I892"/>
  <c r="I891" s="1"/>
  <c r="O924"/>
  <c r="O923" s="1"/>
  <c r="G923"/>
  <c r="L929"/>
  <c r="I928"/>
  <c r="I927" s="1"/>
  <c r="D942"/>
  <c r="D941" s="1"/>
  <c r="D936" s="1"/>
  <c r="H941"/>
  <c r="C943"/>
  <c r="D943" s="1"/>
  <c r="P943"/>
  <c r="M941"/>
  <c r="M936" s="1"/>
  <c r="D961"/>
  <c r="D959" s="1"/>
  <c r="C959"/>
  <c r="P1014"/>
  <c r="M1013"/>
  <c r="H1068"/>
  <c r="E1067"/>
  <c r="O1068"/>
  <c r="G1067"/>
  <c r="G1062" s="1"/>
  <c r="P1086"/>
  <c r="M1085"/>
  <c r="D1092"/>
  <c r="C1065"/>
  <c r="C1063" s="1"/>
  <c r="M1092"/>
  <c r="I1090"/>
  <c r="I1089" s="1"/>
  <c r="P1095"/>
  <c r="P1094" s="1"/>
  <c r="M1094"/>
  <c r="L1101"/>
  <c r="I1099"/>
  <c r="D1119"/>
  <c r="D1117" s="1"/>
  <c r="C1117"/>
  <c r="AB1121"/>
  <c r="Y1119"/>
  <c r="C1149"/>
  <c r="H1148"/>
  <c r="N1158"/>
  <c r="F1157"/>
  <c r="F1152" s="1"/>
  <c r="F1131"/>
  <c r="N1131" s="1"/>
  <c r="N1130" s="1"/>
  <c r="C1176"/>
  <c r="E18"/>
  <c r="G18"/>
  <c r="J18"/>
  <c r="B90"/>
  <c r="K90"/>
  <c r="D100"/>
  <c r="D99" s="1"/>
  <c r="L99"/>
  <c r="B144"/>
  <c r="J144"/>
  <c r="D163"/>
  <c r="O171"/>
  <c r="D199"/>
  <c r="D198" s="1"/>
  <c r="I198"/>
  <c r="K198"/>
  <c r="D157"/>
  <c r="O225"/>
  <c r="O253"/>
  <c r="O252" s="1"/>
  <c r="O266"/>
  <c r="N279"/>
  <c r="F279"/>
  <c r="L288"/>
  <c r="D307"/>
  <c r="J306"/>
  <c r="O311"/>
  <c r="L360"/>
  <c r="B414"/>
  <c r="F441"/>
  <c r="D496"/>
  <c r="N522"/>
  <c r="D577"/>
  <c r="D576" s="1"/>
  <c r="E576"/>
  <c r="G576"/>
  <c r="I576"/>
  <c r="K576"/>
  <c r="B594"/>
  <c r="D644"/>
  <c r="K756"/>
  <c r="M783"/>
  <c r="D797"/>
  <c r="H846"/>
  <c r="J882"/>
  <c r="O882"/>
  <c r="D932"/>
  <c r="F945"/>
  <c r="I990"/>
  <c r="M1008"/>
  <c r="M1020"/>
  <c r="D1107"/>
  <c r="B1174"/>
  <c r="B1173" s="1"/>
  <c r="F1174"/>
  <c r="I11"/>
  <c r="E1175"/>
  <c r="E1182" s="1"/>
  <c r="G1175"/>
  <c r="G1182" s="1"/>
  <c r="J1175"/>
  <c r="B1176"/>
  <c r="E1176"/>
  <c r="E1183" s="1"/>
  <c r="G1176"/>
  <c r="K1176"/>
  <c r="B1178"/>
  <c r="F1178"/>
  <c r="I1178"/>
  <c r="K1178"/>
  <c r="C16"/>
  <c r="F1179"/>
  <c r="I1179"/>
  <c r="K1179"/>
  <c r="B18"/>
  <c r="H19"/>
  <c r="N19"/>
  <c r="E27"/>
  <c r="G27"/>
  <c r="P30"/>
  <c r="H28"/>
  <c r="H27" s="1"/>
  <c r="O36"/>
  <c r="P43"/>
  <c r="M46"/>
  <c r="P48"/>
  <c r="B45"/>
  <c r="J45"/>
  <c r="B54"/>
  <c r="H59"/>
  <c r="P67"/>
  <c r="E63"/>
  <c r="G63"/>
  <c r="P69"/>
  <c r="H73"/>
  <c r="P74"/>
  <c r="O73"/>
  <c r="O72" s="1"/>
  <c r="P79"/>
  <c r="H81"/>
  <c r="D82"/>
  <c r="D81" s="1"/>
  <c r="L84"/>
  <c r="P85"/>
  <c r="C86"/>
  <c r="P87"/>
  <c r="F90"/>
  <c r="I92"/>
  <c r="N93"/>
  <c r="I93"/>
  <c r="L93" s="1"/>
  <c r="H96"/>
  <c r="O96"/>
  <c r="O95" s="1"/>
  <c r="N100"/>
  <c r="N99" s="1"/>
  <c r="P102"/>
  <c r="P100" s="1"/>
  <c r="O100"/>
  <c r="O99" s="1"/>
  <c r="P103"/>
  <c r="D94"/>
  <c r="M118"/>
  <c r="M117" s="1"/>
  <c r="H118"/>
  <c r="H117" s="1"/>
  <c r="P119"/>
  <c r="P129"/>
  <c r="M131"/>
  <c r="H131"/>
  <c r="H126" s="1"/>
  <c r="P132"/>
  <c r="P131" s="1"/>
  <c r="M136"/>
  <c r="M135" s="1"/>
  <c r="H136"/>
  <c r="H135" s="1"/>
  <c r="P137"/>
  <c r="P141"/>
  <c r="P142"/>
  <c r="I145"/>
  <c r="I144" s="1"/>
  <c r="N156"/>
  <c r="I156"/>
  <c r="L156" s="1"/>
  <c r="I157"/>
  <c r="E158"/>
  <c r="E153" s="1"/>
  <c r="G158"/>
  <c r="G153" s="1"/>
  <c r="M160"/>
  <c r="O160"/>
  <c r="O158" s="1"/>
  <c r="N163"/>
  <c r="N162" s="1"/>
  <c r="M163"/>
  <c r="O163"/>
  <c r="P166"/>
  <c r="P168"/>
  <c r="P167" s="1"/>
  <c r="O167"/>
  <c r="H172"/>
  <c r="L173"/>
  <c r="N172"/>
  <c r="N171" s="1"/>
  <c r="B171"/>
  <c r="F171"/>
  <c r="H176"/>
  <c r="J171"/>
  <c r="I181"/>
  <c r="I180" s="1"/>
  <c r="N181"/>
  <c r="L183"/>
  <c r="L184"/>
  <c r="F180"/>
  <c r="H185"/>
  <c r="J180"/>
  <c r="C190"/>
  <c r="C189" s="1"/>
  <c r="I190"/>
  <c r="I189" s="1"/>
  <c r="H190"/>
  <c r="O190"/>
  <c r="O189" s="1"/>
  <c r="L193"/>
  <c r="O199"/>
  <c r="P202"/>
  <c r="E198"/>
  <c r="G198"/>
  <c r="C212"/>
  <c r="C207" s="1"/>
  <c r="P214"/>
  <c r="N218"/>
  <c r="I217"/>
  <c r="I216" s="1"/>
  <c r="K218"/>
  <c r="K217" s="1"/>
  <c r="K216" s="1"/>
  <c r="M220"/>
  <c r="O220"/>
  <c r="M222"/>
  <c r="O222"/>
  <c r="O221" s="1"/>
  <c r="M225"/>
  <c r="P228"/>
  <c r="P229"/>
  <c r="C230"/>
  <c r="H230"/>
  <c r="H225" s="1"/>
  <c r="L230"/>
  <c r="P232"/>
  <c r="C235"/>
  <c r="H235"/>
  <c r="L235"/>
  <c r="L234" s="1"/>
  <c r="P237"/>
  <c r="D220"/>
  <c r="M239"/>
  <c r="M234" s="1"/>
  <c r="H239"/>
  <c r="P240"/>
  <c r="P239" s="1"/>
  <c r="B243"/>
  <c r="O243"/>
  <c r="J243"/>
  <c r="C249"/>
  <c r="D249" s="1"/>
  <c r="P250"/>
  <c r="P254"/>
  <c r="E252"/>
  <c r="G252"/>
  <c r="I252"/>
  <c r="K252"/>
  <c r="P258"/>
  <c r="C262"/>
  <c r="F261"/>
  <c r="H261"/>
  <c r="J261"/>
  <c r="P267"/>
  <c r="H272"/>
  <c r="O272"/>
  <c r="J271"/>
  <c r="J270" s="1"/>
  <c r="B271"/>
  <c r="B270" s="1"/>
  <c r="F275"/>
  <c r="F270" s="1"/>
  <c r="I275"/>
  <c r="I270" s="1"/>
  <c r="C276"/>
  <c r="N276"/>
  <c r="N275" s="1"/>
  <c r="L276"/>
  <c r="L275" s="1"/>
  <c r="M279"/>
  <c r="O279"/>
  <c r="P286"/>
  <c r="E288"/>
  <c r="G288"/>
  <c r="P291"/>
  <c r="C293"/>
  <c r="O293"/>
  <c r="I297"/>
  <c r="K297"/>
  <c r="P304"/>
  <c r="P302" s="1"/>
  <c r="H307"/>
  <c r="H306" s="1"/>
  <c r="P308"/>
  <c r="O307"/>
  <c r="L306"/>
  <c r="P322"/>
  <c r="D272"/>
  <c r="P337"/>
  <c r="E333"/>
  <c r="G333"/>
  <c r="H338"/>
  <c r="H333" s="1"/>
  <c r="M338"/>
  <c r="P340"/>
  <c r="H343"/>
  <c r="M343"/>
  <c r="M342" s="1"/>
  <c r="P345"/>
  <c r="N351"/>
  <c r="P354"/>
  <c r="H356"/>
  <c r="H351" s="1"/>
  <c r="Q351" s="1"/>
  <c r="D361"/>
  <c r="P363"/>
  <c r="C365"/>
  <c r="F360"/>
  <c r="J360"/>
  <c r="O365"/>
  <c r="P376"/>
  <c r="F387"/>
  <c r="I391"/>
  <c r="H397"/>
  <c r="D389"/>
  <c r="D406"/>
  <c r="C410"/>
  <c r="H410"/>
  <c r="J405"/>
  <c r="O423"/>
  <c r="F423"/>
  <c r="I433"/>
  <c r="I432" s="1"/>
  <c r="M451"/>
  <c r="M450" s="1"/>
  <c r="O451"/>
  <c r="O450" s="1"/>
  <c r="B495"/>
  <c r="I505"/>
  <c r="I509"/>
  <c r="O513"/>
  <c r="H523"/>
  <c r="O523"/>
  <c r="O522" s="1"/>
  <c r="F540"/>
  <c r="C550"/>
  <c r="H550"/>
  <c r="J549"/>
  <c r="L549"/>
  <c r="O550"/>
  <c r="M590"/>
  <c r="M585" s="1"/>
  <c r="I599"/>
  <c r="F621"/>
  <c r="D596"/>
  <c r="O640"/>
  <c r="B648"/>
  <c r="I648"/>
  <c r="K648"/>
  <c r="H658"/>
  <c r="M671"/>
  <c r="H684"/>
  <c r="O684"/>
  <c r="C698"/>
  <c r="E702"/>
  <c r="I704"/>
  <c r="C705"/>
  <c r="C703" s="1"/>
  <c r="N711"/>
  <c r="D706"/>
  <c r="D716"/>
  <c r="H721"/>
  <c r="H720" s="1"/>
  <c r="D739"/>
  <c r="D738" s="1"/>
  <c r="D774"/>
  <c r="L774"/>
  <c r="N774"/>
  <c r="F774"/>
  <c r="O783"/>
  <c r="H783"/>
  <c r="C792"/>
  <c r="D792"/>
  <c r="C797"/>
  <c r="F801"/>
  <c r="N801"/>
  <c r="E819"/>
  <c r="G819"/>
  <c r="M847"/>
  <c r="M846" s="1"/>
  <c r="J855"/>
  <c r="D869"/>
  <c r="D864" s="1"/>
  <c r="H873"/>
  <c r="O905"/>
  <c r="D927"/>
  <c r="D1020"/>
  <c r="D1064"/>
  <c r="N1064"/>
  <c r="O1089"/>
  <c r="N1098"/>
  <c r="D1099"/>
  <c r="D1127"/>
  <c r="I1127"/>
  <c r="I1128"/>
  <c r="I1129"/>
  <c r="H1143"/>
  <c r="O1148"/>
  <c r="D966"/>
  <c r="C964"/>
  <c r="P970"/>
  <c r="M968"/>
  <c r="M963" s="1"/>
  <c r="M994"/>
  <c r="L994"/>
  <c r="N1024"/>
  <c r="F1022"/>
  <c r="H1066"/>
  <c r="E1063"/>
  <c r="E1062" s="1"/>
  <c r="N1118"/>
  <c r="J1117"/>
  <c r="J1116" s="1"/>
  <c r="J1064"/>
  <c r="J1063" s="1"/>
  <c r="J1062" s="1"/>
  <c r="M1154"/>
  <c r="I1153"/>
  <c r="I1152" s="1"/>
  <c r="P382"/>
  <c r="B388"/>
  <c r="B387" s="1"/>
  <c r="N389"/>
  <c r="K388"/>
  <c r="K387" s="1"/>
  <c r="H391"/>
  <c r="O391"/>
  <c r="J388"/>
  <c r="N393"/>
  <c r="L393"/>
  <c r="L392" s="1"/>
  <c r="L397"/>
  <c r="O397"/>
  <c r="O396" s="1"/>
  <c r="P403"/>
  <c r="H406"/>
  <c r="H405" s="1"/>
  <c r="P407"/>
  <c r="O406"/>
  <c r="L405"/>
  <c r="P426"/>
  <c r="E432"/>
  <c r="G432"/>
  <c r="H433"/>
  <c r="H432" s="1"/>
  <c r="N433"/>
  <c r="N432" s="1"/>
  <c r="P435"/>
  <c r="M443"/>
  <c r="O443"/>
  <c r="J442"/>
  <c r="J441" s="1"/>
  <c r="B442"/>
  <c r="B441" s="1"/>
  <c r="N448"/>
  <c r="D443"/>
  <c r="P452"/>
  <c r="N468"/>
  <c r="P472"/>
  <c r="H478"/>
  <c r="H477" s="1"/>
  <c r="M478"/>
  <c r="M477" s="1"/>
  <c r="P480"/>
  <c r="B477"/>
  <c r="F477"/>
  <c r="J477"/>
  <c r="P484"/>
  <c r="H487"/>
  <c r="P488"/>
  <c r="L487"/>
  <c r="L486" s="1"/>
  <c r="N487"/>
  <c r="N486" s="1"/>
  <c r="H491"/>
  <c r="P492"/>
  <c r="P491" s="1"/>
  <c r="P498"/>
  <c r="O496"/>
  <c r="P499"/>
  <c r="P501"/>
  <c r="P500" s="1"/>
  <c r="O500"/>
  <c r="N507"/>
  <c r="N505" s="1"/>
  <c r="N504" s="1"/>
  <c r="L507"/>
  <c r="L505" s="1"/>
  <c r="L504" s="1"/>
  <c r="N508"/>
  <c r="L508"/>
  <c r="N510"/>
  <c r="N509" s="1"/>
  <c r="L510"/>
  <c r="L509" s="1"/>
  <c r="H514"/>
  <c r="H513" s="1"/>
  <c r="M514"/>
  <c r="P516"/>
  <c r="B513"/>
  <c r="F513"/>
  <c r="J513"/>
  <c r="H527"/>
  <c r="H522" s="1"/>
  <c r="P528"/>
  <c r="P527" s="1"/>
  <c r="H532"/>
  <c r="H531" s="1"/>
  <c r="P533"/>
  <c r="N549"/>
  <c r="P553"/>
  <c r="P556"/>
  <c r="E558"/>
  <c r="G558"/>
  <c r="P561"/>
  <c r="O563"/>
  <c r="H568"/>
  <c r="H567" s="1"/>
  <c r="M568"/>
  <c r="P570"/>
  <c r="B567"/>
  <c r="F567"/>
  <c r="J567"/>
  <c r="O577"/>
  <c r="O576" s="1"/>
  <c r="P580"/>
  <c r="P592"/>
  <c r="P590" s="1"/>
  <c r="M597"/>
  <c r="O597"/>
  <c r="N598"/>
  <c r="L598"/>
  <c r="N600"/>
  <c r="N599" s="1"/>
  <c r="L600"/>
  <c r="L599" s="1"/>
  <c r="H604"/>
  <c r="H603" s="1"/>
  <c r="P605"/>
  <c r="P618"/>
  <c r="P643"/>
  <c r="O644"/>
  <c r="E648"/>
  <c r="G648"/>
  <c r="D649"/>
  <c r="P651"/>
  <c r="O649"/>
  <c r="O648" s="1"/>
  <c r="P652"/>
  <c r="J657"/>
  <c r="L657"/>
  <c r="N657"/>
  <c r="P661"/>
  <c r="I657"/>
  <c r="P672"/>
  <c r="P677"/>
  <c r="P682"/>
  <c r="P688"/>
  <c r="F693"/>
  <c r="H706"/>
  <c r="O706"/>
  <c r="N709"/>
  <c r="L709"/>
  <c r="B711"/>
  <c r="P717"/>
  <c r="O711"/>
  <c r="P722"/>
  <c r="P721" s="1"/>
  <c r="O743"/>
  <c r="O738" s="1"/>
  <c r="B747"/>
  <c r="P754"/>
  <c r="N763"/>
  <c r="N761" s="1"/>
  <c r="L763"/>
  <c r="L761" s="1"/>
  <c r="P768"/>
  <c r="P766" s="1"/>
  <c r="P765" s="1"/>
  <c r="P769"/>
  <c r="M774"/>
  <c r="O774"/>
  <c r="P781"/>
  <c r="E783"/>
  <c r="G783"/>
  <c r="P786"/>
  <c r="H797"/>
  <c r="H792" s="1"/>
  <c r="M797"/>
  <c r="P799"/>
  <c r="P804"/>
  <c r="P802" s="1"/>
  <c r="P805"/>
  <c r="J801"/>
  <c r="L801"/>
  <c r="O820"/>
  <c r="K819"/>
  <c r="H819"/>
  <c r="P825"/>
  <c r="M833"/>
  <c r="M828" s="1"/>
  <c r="O833"/>
  <c r="O828" s="1"/>
  <c r="P835"/>
  <c r="F837"/>
  <c r="M837"/>
  <c r="O838"/>
  <c r="O837" s="1"/>
  <c r="P841"/>
  <c r="P843"/>
  <c r="P844"/>
  <c r="E846"/>
  <c r="G846"/>
  <c r="P849"/>
  <c r="P847" s="1"/>
  <c r="P850"/>
  <c r="E855"/>
  <c r="H858"/>
  <c r="H862"/>
  <c r="O862"/>
  <c r="P867"/>
  <c r="M869"/>
  <c r="O869"/>
  <c r="O864" s="1"/>
  <c r="P871"/>
  <c r="O874"/>
  <c r="O873" s="1"/>
  <c r="P876"/>
  <c r="P880"/>
  <c r="P889"/>
  <c r="E900"/>
  <c r="G900"/>
  <c r="O901"/>
  <c r="O900" s="1"/>
  <c r="H901"/>
  <c r="N901"/>
  <c r="P906"/>
  <c r="G918"/>
  <c r="I918"/>
  <c r="E927"/>
  <c r="G927"/>
  <c r="H932"/>
  <c r="H927" s="1"/>
  <c r="O932"/>
  <c r="O927" s="1"/>
  <c r="O941"/>
  <c r="O936" s="1"/>
  <c r="O954"/>
  <c r="H973"/>
  <c r="L1020"/>
  <c r="O1027"/>
  <c r="P1031"/>
  <c r="K1062"/>
  <c r="H1080"/>
  <c r="D1080"/>
  <c r="J1089"/>
  <c r="F1134"/>
  <c r="H1134"/>
  <c r="O1143"/>
  <c r="K1152"/>
  <c r="D1153"/>
  <c r="O1153"/>
  <c r="B1152"/>
  <c r="P912"/>
  <c r="H914"/>
  <c r="H909" s="1"/>
  <c r="Q909" s="1"/>
  <c r="P915"/>
  <c r="L914"/>
  <c r="L909" s="1"/>
  <c r="N914"/>
  <c r="N909" s="1"/>
  <c r="N919"/>
  <c r="N918" s="1"/>
  <c r="P921"/>
  <c r="P938"/>
  <c r="P939"/>
  <c r="P940"/>
  <c r="L936"/>
  <c r="N936"/>
  <c r="M947"/>
  <c r="O947"/>
  <c r="J946"/>
  <c r="J945" s="1"/>
  <c r="B946"/>
  <c r="B945" s="1"/>
  <c r="N952"/>
  <c r="L952"/>
  <c r="E954"/>
  <c r="G954"/>
  <c r="P957"/>
  <c r="P958"/>
  <c r="P955" s="1"/>
  <c r="H959"/>
  <c r="H954" s="1"/>
  <c r="Q954" s="1"/>
  <c r="P960"/>
  <c r="L959"/>
  <c r="L954" s="1"/>
  <c r="N959"/>
  <c r="N954" s="1"/>
  <c r="J963"/>
  <c r="L963"/>
  <c r="N963"/>
  <c r="D947"/>
  <c r="H968"/>
  <c r="H963" s="1"/>
  <c r="Q963" s="1"/>
  <c r="P969"/>
  <c r="P968" s="1"/>
  <c r="B972"/>
  <c r="P987"/>
  <c r="P986" s="1"/>
  <c r="P988"/>
  <c r="N991"/>
  <c r="D991"/>
  <c r="D990" s="1"/>
  <c r="E990"/>
  <c r="G990"/>
  <c r="P997"/>
  <c r="E999"/>
  <c r="G999"/>
  <c r="P1002"/>
  <c r="O1004"/>
  <c r="L1008"/>
  <c r="P1015"/>
  <c r="M1019"/>
  <c r="O1019"/>
  <c r="B1022"/>
  <c r="B1017" s="1"/>
  <c r="N1023"/>
  <c r="N1022" s="1"/>
  <c r="L1023"/>
  <c r="K1022"/>
  <c r="N1027"/>
  <c r="P1030"/>
  <c r="P1033"/>
  <c r="B1035"/>
  <c r="F1035"/>
  <c r="O1036"/>
  <c r="O1035" s="1"/>
  <c r="P1039"/>
  <c r="M1069"/>
  <c r="O1069"/>
  <c r="K1071"/>
  <c r="H1071"/>
  <c r="P1077"/>
  <c r="P1076" s="1"/>
  <c r="P1078"/>
  <c r="I1098"/>
  <c r="K1098"/>
  <c r="P1105"/>
  <c r="H1112"/>
  <c r="H1107" s="1"/>
  <c r="Q1107" s="1"/>
  <c r="Y1115"/>
  <c r="Y1114" s="1"/>
  <c r="AA1115"/>
  <c r="AA1114" s="1"/>
  <c r="AB1120"/>
  <c r="P1122"/>
  <c r="O1121"/>
  <c r="S1115"/>
  <c r="U1115"/>
  <c r="E1125"/>
  <c r="G1125"/>
  <c r="J1125"/>
  <c r="M1127"/>
  <c r="O1127"/>
  <c r="H1128"/>
  <c r="O1128"/>
  <c r="H1129"/>
  <c r="O1129"/>
  <c r="B1130"/>
  <c r="B1125" s="1"/>
  <c r="L1131"/>
  <c r="L1130" s="1"/>
  <c r="K1130"/>
  <c r="K1125" s="1"/>
  <c r="P1136"/>
  <c r="O1135"/>
  <c r="P1146"/>
  <c r="H1153"/>
  <c r="N1153"/>
  <c r="D19"/>
  <c r="D59"/>
  <c r="D15"/>
  <c r="D111"/>
  <c r="C109"/>
  <c r="C108" s="1"/>
  <c r="C93"/>
  <c r="C91" s="1"/>
  <c r="D183"/>
  <c r="C156"/>
  <c r="C154" s="1"/>
  <c r="C181"/>
  <c r="C180" s="1"/>
  <c r="D228"/>
  <c r="C226"/>
  <c r="C225" s="1"/>
  <c r="C219"/>
  <c r="C217" s="1"/>
  <c r="D291"/>
  <c r="C289"/>
  <c r="C288" s="1"/>
  <c r="C273"/>
  <c r="C271" s="1"/>
  <c r="D304"/>
  <c r="C277"/>
  <c r="C275" s="1"/>
  <c r="C302"/>
  <c r="C297" s="1"/>
  <c r="D426"/>
  <c r="D424" s="1"/>
  <c r="C424"/>
  <c r="D556"/>
  <c r="C511"/>
  <c r="D561"/>
  <c r="D559" s="1"/>
  <c r="C559"/>
  <c r="C558" s="1"/>
  <c r="D592"/>
  <c r="D590" s="1"/>
  <c r="C590"/>
  <c r="D618"/>
  <c r="D617" s="1"/>
  <c r="D612" s="1"/>
  <c r="C617"/>
  <c r="D190"/>
  <c r="D189" s="1"/>
  <c r="H189"/>
  <c r="O432"/>
  <c r="D75"/>
  <c r="D73" s="1"/>
  <c r="D72" s="1"/>
  <c r="C12"/>
  <c r="D120"/>
  <c r="D118" s="1"/>
  <c r="C118"/>
  <c r="C117" s="1"/>
  <c r="D133"/>
  <c r="C131"/>
  <c r="C97"/>
  <c r="D138"/>
  <c r="D136" s="1"/>
  <c r="D135" s="1"/>
  <c r="C136"/>
  <c r="C135" s="1"/>
  <c r="D169"/>
  <c r="C167"/>
  <c r="C160"/>
  <c r="D241"/>
  <c r="C239"/>
  <c r="C234" s="1"/>
  <c r="C223"/>
  <c r="D474"/>
  <c r="C447"/>
  <c r="C473"/>
  <c r="C468" s="1"/>
  <c r="D493"/>
  <c r="D491" s="1"/>
  <c r="D486" s="1"/>
  <c r="C448"/>
  <c r="C491"/>
  <c r="C486" s="1"/>
  <c r="D502"/>
  <c r="D500" s="1"/>
  <c r="D495" s="1"/>
  <c r="C500"/>
  <c r="D529"/>
  <c r="D527" s="1"/>
  <c r="C527"/>
  <c r="D534"/>
  <c r="C507"/>
  <c r="C505" s="1"/>
  <c r="C532"/>
  <c r="C531" s="1"/>
  <c r="D555"/>
  <c r="C510"/>
  <c r="C509" s="1"/>
  <c r="C554"/>
  <c r="D606"/>
  <c r="C604"/>
  <c r="C603" s="1"/>
  <c r="C597"/>
  <c r="C595" s="1"/>
  <c r="D691"/>
  <c r="D689" s="1"/>
  <c r="C689"/>
  <c r="C601"/>
  <c r="D696"/>
  <c r="D694" s="1"/>
  <c r="D693" s="1"/>
  <c r="C694"/>
  <c r="C693" s="1"/>
  <c r="C126"/>
  <c r="Q162"/>
  <c r="Q279"/>
  <c r="Q540"/>
  <c r="C549"/>
  <c r="C585"/>
  <c r="Q585"/>
  <c r="C612"/>
  <c r="Q621"/>
  <c r="Q630"/>
  <c r="C663"/>
  <c r="H662"/>
  <c r="M670"/>
  <c r="P670" s="1"/>
  <c r="L670"/>
  <c r="C672"/>
  <c r="H671"/>
  <c r="H666" s="1"/>
  <c r="M686"/>
  <c r="L686"/>
  <c r="I685"/>
  <c r="I684" s="1"/>
  <c r="P699"/>
  <c r="N698"/>
  <c r="N704"/>
  <c r="F703"/>
  <c r="L704"/>
  <c r="I703"/>
  <c r="D768"/>
  <c r="C766"/>
  <c r="C765" s="1"/>
  <c r="C759"/>
  <c r="C757" s="1"/>
  <c r="D786"/>
  <c r="D784" s="1"/>
  <c r="C784"/>
  <c r="D804"/>
  <c r="D802" s="1"/>
  <c r="C802"/>
  <c r="D843"/>
  <c r="D842" s="1"/>
  <c r="C842"/>
  <c r="D849"/>
  <c r="D847" s="1"/>
  <c r="C847"/>
  <c r="D921"/>
  <c r="C919"/>
  <c r="C858"/>
  <c r="C856" s="1"/>
  <c r="D957"/>
  <c r="C955"/>
  <c r="C954" s="1"/>
  <c r="C948"/>
  <c r="C946" s="1"/>
  <c r="E10"/>
  <c r="E9" s="1"/>
  <c r="K10"/>
  <c r="J1174"/>
  <c r="J1176"/>
  <c r="N1176" s="1"/>
  <c r="K14"/>
  <c r="C15"/>
  <c r="C14" s="1"/>
  <c r="E1178"/>
  <c r="J1178"/>
  <c r="B1179"/>
  <c r="E1179"/>
  <c r="G1179"/>
  <c r="O1179" s="1"/>
  <c r="J1179"/>
  <c r="C19"/>
  <c r="L20"/>
  <c r="P21"/>
  <c r="O19"/>
  <c r="O18" s="1"/>
  <c r="C18"/>
  <c r="K18"/>
  <c r="H23"/>
  <c r="H18" s="1"/>
  <c r="P25"/>
  <c r="N28"/>
  <c r="N27" s="1"/>
  <c r="O28"/>
  <c r="O27" s="1"/>
  <c r="P31"/>
  <c r="P33"/>
  <c r="P34"/>
  <c r="P38"/>
  <c r="P40"/>
  <c r="P42"/>
  <c r="P41" s="1"/>
  <c r="D46"/>
  <c r="D45" s="1"/>
  <c r="L46"/>
  <c r="L45" s="1"/>
  <c r="P47"/>
  <c r="H46"/>
  <c r="H45" s="1"/>
  <c r="P49"/>
  <c r="P51"/>
  <c r="P50" s="1"/>
  <c r="O45"/>
  <c r="I55"/>
  <c r="I54" s="1"/>
  <c r="D55"/>
  <c r="D54" s="1"/>
  <c r="P56"/>
  <c r="P58"/>
  <c r="C59"/>
  <c r="C54" s="1"/>
  <c r="P60"/>
  <c r="P59" s="1"/>
  <c r="P65"/>
  <c r="P66"/>
  <c r="I63"/>
  <c r="K63"/>
  <c r="H68"/>
  <c r="H63" s="1"/>
  <c r="P70"/>
  <c r="P76"/>
  <c r="E72"/>
  <c r="G72"/>
  <c r="L72"/>
  <c r="P78"/>
  <c r="P77" s="1"/>
  <c r="L83"/>
  <c r="L82" s="1"/>
  <c r="L81" s="1"/>
  <c r="Q81" s="1"/>
  <c r="M83"/>
  <c r="P83" s="1"/>
  <c r="P84"/>
  <c r="P88"/>
  <c r="O86"/>
  <c r="H92"/>
  <c r="O92"/>
  <c r="O91" s="1"/>
  <c r="O90" s="1"/>
  <c r="J92"/>
  <c r="J91" s="1"/>
  <c r="J90" s="1"/>
  <c r="M93"/>
  <c r="P93" s="1"/>
  <c r="O93"/>
  <c r="N94"/>
  <c r="I94"/>
  <c r="L94" s="1"/>
  <c r="C96"/>
  <c r="C95" s="1"/>
  <c r="N96"/>
  <c r="L96"/>
  <c r="N97"/>
  <c r="L97"/>
  <c r="C100"/>
  <c r="C99" s="1"/>
  <c r="M100"/>
  <c r="M99" s="1"/>
  <c r="P105"/>
  <c r="P106"/>
  <c r="I109"/>
  <c r="I108" s="1"/>
  <c r="P121"/>
  <c r="P123"/>
  <c r="P122" s="1"/>
  <c r="J127"/>
  <c r="J126" s="1"/>
  <c r="L128"/>
  <c r="L127" s="1"/>
  <c r="L126" s="1"/>
  <c r="P130"/>
  <c r="P139"/>
  <c r="P148"/>
  <c r="P150"/>
  <c r="P151"/>
  <c r="F154"/>
  <c r="F153" s="1"/>
  <c r="I154"/>
  <c r="I153" s="1"/>
  <c r="H155"/>
  <c r="O155"/>
  <c r="M156"/>
  <c r="O156"/>
  <c r="N157"/>
  <c r="L157"/>
  <c r="C159"/>
  <c r="C158" s="1"/>
  <c r="N159"/>
  <c r="L159"/>
  <c r="N160"/>
  <c r="L160"/>
  <c r="C163"/>
  <c r="C162" s="1"/>
  <c r="P165"/>
  <c r="M167"/>
  <c r="M162" s="1"/>
  <c r="C176"/>
  <c r="C171" s="1"/>
  <c r="P177"/>
  <c r="P176" s="1"/>
  <c r="H181"/>
  <c r="H180" s="1"/>
  <c r="N180"/>
  <c r="P183"/>
  <c r="P184"/>
  <c r="P186"/>
  <c r="P187"/>
  <c r="L191"/>
  <c r="L190" s="1"/>
  <c r="P192"/>
  <c r="P193"/>
  <c r="L194"/>
  <c r="L189" s="1"/>
  <c r="Q189" s="1"/>
  <c r="P195"/>
  <c r="P194" s="1"/>
  <c r="C199"/>
  <c r="C198" s="1"/>
  <c r="P201"/>
  <c r="P205"/>
  <c r="P209"/>
  <c r="P210"/>
  <c r="N212"/>
  <c r="N207" s="1"/>
  <c r="L212"/>
  <c r="L207" s="1"/>
  <c r="Q207" s="1"/>
  <c r="P213"/>
  <c r="P212" s="1"/>
  <c r="F217"/>
  <c r="F216" s="1"/>
  <c r="M218"/>
  <c r="O218"/>
  <c r="O217" s="1"/>
  <c r="O216" s="1"/>
  <c r="L218"/>
  <c r="H219"/>
  <c r="O219"/>
  <c r="N220"/>
  <c r="L220"/>
  <c r="C222"/>
  <c r="C221" s="1"/>
  <c r="N222"/>
  <c r="L222"/>
  <c r="N223"/>
  <c r="L223"/>
  <c r="K226"/>
  <c r="K225" s="1"/>
  <c r="P227"/>
  <c r="P226" s="1"/>
  <c r="N230"/>
  <c r="N225" s="1"/>
  <c r="P231"/>
  <c r="P230" s="1"/>
  <c r="N235"/>
  <c r="N234" s="1"/>
  <c r="P236"/>
  <c r="P235" s="1"/>
  <c r="P234" s="1"/>
  <c r="P238"/>
  <c r="C244"/>
  <c r="C243" s="1"/>
  <c r="P245"/>
  <c r="P246"/>
  <c r="C248"/>
  <c r="H243"/>
  <c r="Q243" s="1"/>
  <c r="P249"/>
  <c r="P248" s="1"/>
  <c r="C253"/>
  <c r="C252" s="1"/>
  <c r="P255"/>
  <c r="N257"/>
  <c r="P259"/>
  <c r="P263"/>
  <c r="O261"/>
  <c r="P264"/>
  <c r="C266"/>
  <c r="C261" s="1"/>
  <c r="P268"/>
  <c r="E271"/>
  <c r="E270" s="1"/>
  <c r="G271"/>
  <c r="G270" s="1"/>
  <c r="N272"/>
  <c r="L272"/>
  <c r="N273"/>
  <c r="L273"/>
  <c r="H274"/>
  <c r="O274"/>
  <c r="H276"/>
  <c r="O276"/>
  <c r="M277"/>
  <c r="O277"/>
  <c r="P281"/>
  <c r="P282"/>
  <c r="P283"/>
  <c r="C284"/>
  <c r="C279" s="1"/>
  <c r="P285"/>
  <c r="P284" s="1"/>
  <c r="P292"/>
  <c r="P295"/>
  <c r="D298"/>
  <c r="L298"/>
  <c r="L297" s="1"/>
  <c r="Q297" s="1"/>
  <c r="N298"/>
  <c r="N297" s="1"/>
  <c r="P301"/>
  <c r="P310"/>
  <c r="P313"/>
  <c r="D316"/>
  <c r="D315" s="1"/>
  <c r="L316"/>
  <c r="L315" s="1"/>
  <c r="Q315" s="1"/>
  <c r="N316"/>
  <c r="N315" s="1"/>
  <c r="P319"/>
  <c r="P321"/>
  <c r="P320" s="1"/>
  <c r="O315"/>
  <c r="D325"/>
  <c r="L325"/>
  <c r="L324" s="1"/>
  <c r="Q324" s="1"/>
  <c r="N325"/>
  <c r="N324" s="1"/>
  <c r="P328"/>
  <c r="P330"/>
  <c r="O324"/>
  <c r="P331"/>
  <c r="P335"/>
  <c r="O333"/>
  <c r="P336"/>
  <c r="D338"/>
  <c r="L338"/>
  <c r="L333" s="1"/>
  <c r="Q333" s="1"/>
  <c r="N338"/>
  <c r="N333" s="1"/>
  <c r="D343"/>
  <c r="D342" s="1"/>
  <c r="L343"/>
  <c r="L342" s="1"/>
  <c r="Q342" s="1"/>
  <c r="N343"/>
  <c r="N342" s="1"/>
  <c r="P346"/>
  <c r="H347"/>
  <c r="H342" s="1"/>
  <c r="P349"/>
  <c r="P353"/>
  <c r="P355"/>
  <c r="C356"/>
  <c r="C351" s="1"/>
  <c r="P357"/>
  <c r="P356" s="1"/>
  <c r="P364"/>
  <c r="P367"/>
  <c r="D370"/>
  <c r="D369" s="1"/>
  <c r="L370"/>
  <c r="L369" s="1"/>
  <c r="Q369" s="1"/>
  <c r="N370"/>
  <c r="N369" s="1"/>
  <c r="P373"/>
  <c r="C374"/>
  <c r="C369" s="1"/>
  <c r="P375"/>
  <c r="P374" s="1"/>
  <c r="P380"/>
  <c r="P381"/>
  <c r="C383"/>
  <c r="H378"/>
  <c r="P384"/>
  <c r="P385"/>
  <c r="H389"/>
  <c r="G388"/>
  <c r="M390"/>
  <c r="O390"/>
  <c r="L390"/>
  <c r="N391"/>
  <c r="L391"/>
  <c r="J392"/>
  <c r="J387" s="1"/>
  <c r="H393"/>
  <c r="G392"/>
  <c r="N394"/>
  <c r="C399"/>
  <c r="P399"/>
  <c r="N397"/>
  <c r="N396" s="1"/>
  <c r="P400"/>
  <c r="P409"/>
  <c r="P412"/>
  <c r="P416"/>
  <c r="P417"/>
  <c r="P421"/>
  <c r="P427"/>
  <c r="M428"/>
  <c r="C429"/>
  <c r="L428"/>
  <c r="L423" s="1"/>
  <c r="P430"/>
  <c r="D433"/>
  <c r="D432" s="1"/>
  <c r="P436"/>
  <c r="C437"/>
  <c r="C432" s="1"/>
  <c r="P438"/>
  <c r="E442"/>
  <c r="E441" s="1"/>
  <c r="G442"/>
  <c r="G441" s="1"/>
  <c r="N443"/>
  <c r="L443"/>
  <c r="C444"/>
  <c r="C442" s="1"/>
  <c r="N444"/>
  <c r="M445"/>
  <c r="O445"/>
  <c r="M447"/>
  <c r="O447"/>
  <c r="M448"/>
  <c r="O448"/>
  <c r="L448"/>
  <c r="C451"/>
  <c r="C450" s="1"/>
  <c r="P453"/>
  <c r="P456"/>
  <c r="P457"/>
  <c r="P461"/>
  <c r="P462"/>
  <c r="P463"/>
  <c r="P465"/>
  <c r="P464" s="1"/>
  <c r="P466"/>
  <c r="P470"/>
  <c r="O468"/>
  <c r="P471"/>
  <c r="H473"/>
  <c r="H468" s="1"/>
  <c r="Q468" s="1"/>
  <c r="P475"/>
  <c r="L478"/>
  <c r="L477" s="1"/>
  <c r="Q477" s="1"/>
  <c r="N478"/>
  <c r="N477" s="1"/>
  <c r="P481"/>
  <c r="P483"/>
  <c r="P489"/>
  <c r="P490"/>
  <c r="P487" s="1"/>
  <c r="P486" s="1"/>
  <c r="C496"/>
  <c r="C495" s="1"/>
  <c r="M496"/>
  <c r="P497"/>
  <c r="M500"/>
  <c r="H506"/>
  <c r="O506"/>
  <c r="M507"/>
  <c r="O507"/>
  <c r="H508"/>
  <c r="O508"/>
  <c r="H510"/>
  <c r="O510"/>
  <c r="M511"/>
  <c r="O511"/>
  <c r="L514"/>
  <c r="L513" s="1"/>
  <c r="Q513" s="1"/>
  <c r="N514"/>
  <c r="N513" s="1"/>
  <c r="P517"/>
  <c r="C518"/>
  <c r="C513" s="1"/>
  <c r="M518"/>
  <c r="M513" s="1"/>
  <c r="P520"/>
  <c r="P518" s="1"/>
  <c r="C523"/>
  <c r="C522" s="1"/>
  <c r="L524"/>
  <c r="L523" s="1"/>
  <c r="L522" s="1"/>
  <c r="Q522" s="1"/>
  <c r="P525"/>
  <c r="P526"/>
  <c r="P535"/>
  <c r="P537"/>
  <c r="P542"/>
  <c r="P543"/>
  <c r="P544"/>
  <c r="P547"/>
  <c r="P545" s="1"/>
  <c r="P551"/>
  <c r="O549"/>
  <c r="P552"/>
  <c r="H554"/>
  <c r="H549" s="1"/>
  <c r="Q549" s="1"/>
  <c r="P562"/>
  <c r="P565"/>
  <c r="P563" s="1"/>
  <c r="L568"/>
  <c r="L567" s="1"/>
  <c r="Q567" s="1"/>
  <c r="P569"/>
  <c r="P571"/>
  <c r="P573"/>
  <c r="O567"/>
  <c r="C577"/>
  <c r="C576" s="1"/>
  <c r="P579"/>
  <c r="P582"/>
  <c r="P581" s="1"/>
  <c r="P583"/>
  <c r="P587"/>
  <c r="P588"/>
  <c r="P589"/>
  <c r="E595"/>
  <c r="E594" s="1"/>
  <c r="G595"/>
  <c r="G594" s="1"/>
  <c r="N596"/>
  <c r="L596"/>
  <c r="N597"/>
  <c r="L597"/>
  <c r="H598"/>
  <c r="O598"/>
  <c r="O595" s="1"/>
  <c r="H600"/>
  <c r="O600"/>
  <c r="M601"/>
  <c r="O601"/>
  <c r="P607"/>
  <c r="P609"/>
  <c r="P615"/>
  <c r="P616"/>
  <c r="P613" s="1"/>
  <c r="H617"/>
  <c r="H612" s="1"/>
  <c r="Q612" s="1"/>
  <c r="P619"/>
  <c r="P624"/>
  <c r="P625"/>
  <c r="P622" s="1"/>
  <c r="P627"/>
  <c r="P628"/>
  <c r="P632"/>
  <c r="P633"/>
  <c r="P637"/>
  <c r="I640"/>
  <c r="I639" s="1"/>
  <c r="N640"/>
  <c r="O639"/>
  <c r="P642"/>
  <c r="C644"/>
  <c r="P646"/>
  <c r="C649"/>
  <c r="M649"/>
  <c r="M648" s="1"/>
  <c r="H649"/>
  <c r="H648" s="1"/>
  <c r="Q648" s="1"/>
  <c r="P649"/>
  <c r="B666"/>
  <c r="K666"/>
  <c r="P671"/>
  <c r="M676"/>
  <c r="M675" s="1"/>
  <c r="H676"/>
  <c r="H675" s="1"/>
  <c r="Q675" s="1"/>
  <c r="J684"/>
  <c r="N684"/>
  <c r="H694"/>
  <c r="H693" s="1"/>
  <c r="Q693"/>
  <c r="G703"/>
  <c r="G702" s="1"/>
  <c r="K702"/>
  <c r="C702"/>
  <c r="C837"/>
  <c r="D901"/>
  <c r="H900"/>
  <c r="H936"/>
  <c r="Q936" s="1"/>
  <c r="D669"/>
  <c r="D667" s="1"/>
  <c r="C667"/>
  <c r="M669"/>
  <c r="P669" s="1"/>
  <c r="L669"/>
  <c r="D678"/>
  <c r="D676" s="1"/>
  <c r="D675" s="1"/>
  <c r="C676"/>
  <c r="C675" s="1"/>
  <c r="D687"/>
  <c r="D685" s="1"/>
  <c r="D684" s="1"/>
  <c r="C685"/>
  <c r="C684" s="1"/>
  <c r="P696"/>
  <c r="P694" s="1"/>
  <c r="M694"/>
  <c r="M693" s="1"/>
  <c r="N708"/>
  <c r="N707" s="1"/>
  <c r="F707"/>
  <c r="L708"/>
  <c r="L707" s="1"/>
  <c r="I707"/>
  <c r="D808"/>
  <c r="D806" s="1"/>
  <c r="C806"/>
  <c r="C763"/>
  <c r="D822"/>
  <c r="D820" s="1"/>
  <c r="D819" s="1"/>
  <c r="C820"/>
  <c r="C819" s="1"/>
  <c r="D970"/>
  <c r="C952"/>
  <c r="C968"/>
  <c r="C963" s="1"/>
  <c r="D984"/>
  <c r="D982" s="1"/>
  <c r="D981" s="1"/>
  <c r="C982"/>
  <c r="C981" s="1"/>
  <c r="B1177"/>
  <c r="B1172" s="1"/>
  <c r="N1179"/>
  <c r="L1179"/>
  <c r="D18"/>
  <c r="M29"/>
  <c r="Q36"/>
  <c r="F45"/>
  <c r="F54"/>
  <c r="H54"/>
  <c r="J54"/>
  <c r="O59"/>
  <c r="O54" s="1"/>
  <c r="D64"/>
  <c r="D63" s="1"/>
  <c r="L63"/>
  <c r="I72"/>
  <c r="K72"/>
  <c r="H77"/>
  <c r="H72" s="1"/>
  <c r="P86"/>
  <c r="N92"/>
  <c r="L92"/>
  <c r="Q99"/>
  <c r="Q117"/>
  <c r="Q135"/>
  <c r="O162"/>
  <c r="Q198"/>
  <c r="O198"/>
  <c r="D208"/>
  <c r="D207" s="1"/>
  <c r="D244"/>
  <c r="L252"/>
  <c r="Q252" s="1"/>
  <c r="D262"/>
  <c r="D261" s="1"/>
  <c r="L261"/>
  <c r="Q261" s="1"/>
  <c r="O288"/>
  <c r="D293"/>
  <c r="Q288"/>
  <c r="N288"/>
  <c r="O297"/>
  <c r="O306"/>
  <c r="D311"/>
  <c r="D306" s="1"/>
  <c r="Q306"/>
  <c r="N306"/>
  <c r="D329"/>
  <c r="D334"/>
  <c r="O356"/>
  <c r="O351" s="1"/>
  <c r="O360"/>
  <c r="D365"/>
  <c r="D360" s="1"/>
  <c r="Q360"/>
  <c r="N360"/>
  <c r="O374"/>
  <c r="O369" s="1"/>
  <c r="D379"/>
  <c r="H396"/>
  <c r="H401"/>
  <c r="O405"/>
  <c r="D410"/>
  <c r="D405" s="1"/>
  <c r="Q405"/>
  <c r="N405"/>
  <c r="D415"/>
  <c r="D414" s="1"/>
  <c r="P415"/>
  <c r="L414"/>
  <c r="Q414" s="1"/>
  <c r="P419"/>
  <c r="P424"/>
  <c r="H423"/>
  <c r="P428"/>
  <c r="O442"/>
  <c r="P444"/>
  <c r="L446"/>
  <c r="P451"/>
  <c r="Q459"/>
  <c r="P473"/>
  <c r="Q495"/>
  <c r="D508"/>
  <c r="D1176" s="1"/>
  <c r="Q531"/>
  <c r="P532"/>
  <c r="D550"/>
  <c r="P559"/>
  <c r="O558"/>
  <c r="D563"/>
  <c r="Q558"/>
  <c r="L576"/>
  <c r="Q576" s="1"/>
  <c r="P577"/>
  <c r="D586"/>
  <c r="D585" s="1"/>
  <c r="P597"/>
  <c r="Q603"/>
  <c r="P604"/>
  <c r="P617"/>
  <c r="D631"/>
  <c r="D630" s="1"/>
  <c r="P635"/>
  <c r="Q639"/>
  <c r="M641"/>
  <c r="P641" s="1"/>
  <c r="P640" s="1"/>
  <c r="P644"/>
  <c r="D601"/>
  <c r="H657"/>
  <c r="Q657"/>
  <c r="D658"/>
  <c r="N693"/>
  <c r="Q774"/>
  <c r="G891"/>
  <c r="D1002"/>
  <c r="D1000" s="1"/>
  <c r="C1000"/>
  <c r="C999" s="1"/>
  <c r="D1033"/>
  <c r="C1024"/>
  <c r="C1022" s="1"/>
  <c r="D1105"/>
  <c r="D1069" s="1"/>
  <c r="C1069"/>
  <c r="D1122"/>
  <c r="D1121" s="1"/>
  <c r="D1116" s="1"/>
  <c r="C1121"/>
  <c r="C1116" s="1"/>
  <c r="D1146"/>
  <c r="C1144"/>
  <c r="C1128"/>
  <c r="P654"/>
  <c r="P653" s="1"/>
  <c r="P655"/>
  <c r="P659"/>
  <c r="P660"/>
  <c r="L667"/>
  <c r="L666" s="1"/>
  <c r="Q666" s="1"/>
  <c r="P679"/>
  <c r="P676" s="1"/>
  <c r="P681"/>
  <c r="L685"/>
  <c r="P691"/>
  <c r="P700"/>
  <c r="H704"/>
  <c r="O704"/>
  <c r="M705"/>
  <c r="O705"/>
  <c r="N706"/>
  <c r="L706"/>
  <c r="H708"/>
  <c r="O708"/>
  <c r="M709"/>
  <c r="O709"/>
  <c r="C712"/>
  <c r="C711" s="1"/>
  <c r="P713"/>
  <c r="L714"/>
  <c r="L712" s="1"/>
  <c r="L711" s="1"/>
  <c r="Q711" s="1"/>
  <c r="P715"/>
  <c r="M716"/>
  <c r="P718"/>
  <c r="C721"/>
  <c r="C720" s="1"/>
  <c r="M721"/>
  <c r="M720" s="1"/>
  <c r="P726"/>
  <c r="P725" s="1"/>
  <c r="P720" s="1"/>
  <c r="P727"/>
  <c r="C730"/>
  <c r="C729" s="1"/>
  <c r="I730"/>
  <c r="I729" s="1"/>
  <c r="L731"/>
  <c r="P732"/>
  <c r="P733"/>
  <c r="P735"/>
  <c r="P736"/>
  <c r="C739"/>
  <c r="C738" s="1"/>
  <c r="P740"/>
  <c r="L739"/>
  <c r="P742"/>
  <c r="I743"/>
  <c r="I738" s="1"/>
  <c r="P744"/>
  <c r="C748"/>
  <c r="C747" s="1"/>
  <c r="N748"/>
  <c r="N747" s="1"/>
  <c r="L750"/>
  <c r="P751"/>
  <c r="P753"/>
  <c r="O747"/>
  <c r="E757"/>
  <c r="E756" s="1"/>
  <c r="G757"/>
  <c r="G756" s="1"/>
  <c r="N758"/>
  <c r="L758"/>
  <c r="N759"/>
  <c r="I759"/>
  <c r="H760"/>
  <c r="O760"/>
  <c r="O757" s="1"/>
  <c r="F761"/>
  <c r="F756" s="1"/>
  <c r="I761"/>
  <c r="H762"/>
  <c r="O762"/>
  <c r="M763"/>
  <c r="O763"/>
  <c r="P777"/>
  <c r="P778"/>
  <c r="C779"/>
  <c r="C774" s="1"/>
  <c r="P780"/>
  <c r="P787"/>
  <c r="P789"/>
  <c r="P788" s="1"/>
  <c r="P790"/>
  <c r="P796"/>
  <c r="L797"/>
  <c r="N797"/>
  <c r="N792" s="1"/>
  <c r="M806"/>
  <c r="M801" s="1"/>
  <c r="H807"/>
  <c r="H806" s="1"/>
  <c r="H801" s="1"/>
  <c r="Q801" s="1"/>
  <c r="P812"/>
  <c r="P813"/>
  <c r="P817"/>
  <c r="I820"/>
  <c r="I819" s="1"/>
  <c r="P822"/>
  <c r="P826"/>
  <c r="D829"/>
  <c r="D828" s="1"/>
  <c r="L829"/>
  <c r="L828" s="1"/>
  <c r="Q828" s="1"/>
  <c r="P830"/>
  <c r="P832"/>
  <c r="C833"/>
  <c r="C828" s="1"/>
  <c r="P834"/>
  <c r="P840"/>
  <c r="H842"/>
  <c r="H837" s="1"/>
  <c r="Q837" s="1"/>
  <c r="P852"/>
  <c r="P853"/>
  <c r="G856"/>
  <c r="D857"/>
  <c r="N857"/>
  <c r="I857"/>
  <c r="M857" s="1"/>
  <c r="P857" s="1"/>
  <c r="N858"/>
  <c r="I858"/>
  <c r="L858" s="1"/>
  <c r="M859"/>
  <c r="O859"/>
  <c r="F860"/>
  <c r="F855" s="1"/>
  <c r="I860"/>
  <c r="M861"/>
  <c r="G861"/>
  <c r="N862"/>
  <c r="L862"/>
  <c r="L866"/>
  <c r="L867"/>
  <c r="P868"/>
  <c r="C869"/>
  <c r="C864" s="1"/>
  <c r="P870"/>
  <c r="P869" s="1"/>
  <c r="I874"/>
  <c r="I873" s="1"/>
  <c r="P877"/>
  <c r="P879"/>
  <c r="P878" s="1"/>
  <c r="L882"/>
  <c r="P884"/>
  <c r="P883" s="1"/>
  <c r="P886"/>
  <c r="H888"/>
  <c r="P893"/>
  <c r="P895"/>
  <c r="G896"/>
  <c r="P898"/>
  <c r="L902"/>
  <c r="P902"/>
  <c r="L901"/>
  <c r="L900" s="1"/>
  <c r="Q900" s="1"/>
  <c r="N905"/>
  <c r="N900" s="1"/>
  <c r="P907"/>
  <c r="P911"/>
  <c r="P910" s="1"/>
  <c r="P913"/>
  <c r="P916"/>
  <c r="J919"/>
  <c r="J918" s="1"/>
  <c r="L920"/>
  <c r="L919" s="1"/>
  <c r="L918" s="1"/>
  <c r="M920"/>
  <c r="P922"/>
  <c r="O918"/>
  <c r="P925"/>
  <c r="N928"/>
  <c r="N927" s="1"/>
  <c r="L931"/>
  <c r="L928" s="1"/>
  <c r="L927" s="1"/>
  <c r="Q927" s="1"/>
  <c r="C932"/>
  <c r="C927" s="1"/>
  <c r="P933"/>
  <c r="P932" s="1"/>
  <c r="P934"/>
  <c r="P942"/>
  <c r="P941" s="1"/>
  <c r="E946"/>
  <c r="E945" s="1"/>
  <c r="G946"/>
  <c r="G945" s="1"/>
  <c r="N947"/>
  <c r="L947"/>
  <c r="N948"/>
  <c r="L948"/>
  <c r="M949"/>
  <c r="O949"/>
  <c r="M951"/>
  <c r="O951"/>
  <c r="H952"/>
  <c r="O952"/>
  <c r="P961"/>
  <c r="P965"/>
  <c r="P966"/>
  <c r="P967"/>
  <c r="P974"/>
  <c r="P975"/>
  <c r="P976"/>
  <c r="M977"/>
  <c r="M972" s="1"/>
  <c r="H978"/>
  <c r="H977" s="1"/>
  <c r="H972" s="1"/>
  <c r="P978"/>
  <c r="P977" s="1"/>
  <c r="H1035"/>
  <c r="C1126"/>
  <c r="O1134"/>
  <c r="V1158"/>
  <c r="V1120" s="1"/>
  <c r="M983"/>
  <c r="L983"/>
  <c r="L982" s="1"/>
  <c r="L981" s="1"/>
  <c r="Q981" s="1"/>
  <c r="D1095"/>
  <c r="C1094"/>
  <c r="C1068"/>
  <c r="D1104"/>
  <c r="D1103" s="1"/>
  <c r="D1098" s="1"/>
  <c r="C1103"/>
  <c r="D1141"/>
  <c r="D1132" s="1"/>
  <c r="C1139"/>
  <c r="C1134" s="1"/>
  <c r="C1132"/>
  <c r="P716"/>
  <c r="Q720"/>
  <c r="L748"/>
  <c r="L747" s="1"/>
  <c r="Q747" s="1"/>
  <c r="M749"/>
  <c r="P749" s="1"/>
  <c r="D748"/>
  <c r="D747" s="1"/>
  <c r="M759"/>
  <c r="P759" s="1"/>
  <c r="Q765"/>
  <c r="P775"/>
  <c r="Q783"/>
  <c r="P784"/>
  <c r="P783" s="1"/>
  <c r="D763"/>
  <c r="L793"/>
  <c r="L792" s="1"/>
  <c r="D811"/>
  <c r="P824"/>
  <c r="O819"/>
  <c r="D838"/>
  <c r="D837" s="1"/>
  <c r="P838"/>
  <c r="Q846"/>
  <c r="O891"/>
  <c r="O946"/>
  <c r="D964"/>
  <c r="Q972"/>
  <c r="D973"/>
  <c r="D972" s="1"/>
  <c r="N972"/>
  <c r="Q1044"/>
  <c r="P985"/>
  <c r="L992"/>
  <c r="L991" s="1"/>
  <c r="L990" s="1"/>
  <c r="Q990" s="1"/>
  <c r="M992"/>
  <c r="P992" s="1"/>
  <c r="P994"/>
  <c r="P996"/>
  <c r="P1003"/>
  <c r="P1000" s="1"/>
  <c r="P1006"/>
  <c r="P1010"/>
  <c r="P1012"/>
  <c r="C1014"/>
  <c r="F1018"/>
  <c r="F1017" s="1"/>
  <c r="N1019"/>
  <c r="L1019"/>
  <c r="L1018" s="1"/>
  <c r="K1018"/>
  <c r="K1017" s="1"/>
  <c r="C1020"/>
  <c r="C1018" s="1"/>
  <c r="N1020"/>
  <c r="P1020" s="1"/>
  <c r="M1021"/>
  <c r="O1021"/>
  <c r="M1023"/>
  <c r="O1023"/>
  <c r="M1024"/>
  <c r="O1024"/>
  <c r="L1024"/>
  <c r="D1027"/>
  <c r="H1027"/>
  <c r="H1026" s="1"/>
  <c r="P1029"/>
  <c r="J1026"/>
  <c r="J1036"/>
  <c r="J1035" s="1"/>
  <c r="L1037"/>
  <c r="M1037"/>
  <c r="P1042"/>
  <c r="P1046"/>
  <c r="P1047"/>
  <c r="P1048"/>
  <c r="P1050"/>
  <c r="P1051"/>
  <c r="P1055"/>
  <c r="P1056"/>
  <c r="P1057"/>
  <c r="P1059"/>
  <c r="P1060"/>
  <c r="F1063"/>
  <c r="F1062" s="1"/>
  <c r="I1063"/>
  <c r="I1062" s="1"/>
  <c r="H1064"/>
  <c r="O1064"/>
  <c r="M1065"/>
  <c r="O1065"/>
  <c r="N1066"/>
  <c r="L1066"/>
  <c r="N1068"/>
  <c r="L1068"/>
  <c r="N1069"/>
  <c r="L1069"/>
  <c r="I1072"/>
  <c r="I1071" s="1"/>
  <c r="P1073"/>
  <c r="P1087"/>
  <c r="C1090"/>
  <c r="P1091"/>
  <c r="L1092"/>
  <c r="L1090" s="1"/>
  <c r="L1089" s="1"/>
  <c r="P1093"/>
  <c r="H1094"/>
  <c r="H1089" s="1"/>
  <c r="C1099"/>
  <c r="C1098" s="1"/>
  <c r="P1100"/>
  <c r="L1099"/>
  <c r="L1098" s="1"/>
  <c r="P1102"/>
  <c r="H1103"/>
  <c r="H1098" s="1"/>
  <c r="P1110"/>
  <c r="P1108" s="1"/>
  <c r="N1112"/>
  <c r="N1107" s="1"/>
  <c r="P1114"/>
  <c r="AB1116"/>
  <c r="I1117"/>
  <c r="I1116" s="1"/>
  <c r="K1117"/>
  <c r="K1116" s="1"/>
  <c r="AB1117"/>
  <c r="N1117"/>
  <c r="N1116" s="1"/>
  <c r="M1121"/>
  <c r="P1123"/>
  <c r="V1123"/>
  <c r="V1122" s="1"/>
  <c r="V1118" s="1"/>
  <c r="N1127"/>
  <c r="L1127"/>
  <c r="N1128"/>
  <c r="L1128"/>
  <c r="N1129"/>
  <c r="L1129"/>
  <c r="F1130"/>
  <c r="F1125" s="1"/>
  <c r="I1130"/>
  <c r="M1131"/>
  <c r="O1131"/>
  <c r="H1132"/>
  <c r="O1132"/>
  <c r="M1139"/>
  <c r="P1140"/>
  <c r="M1144"/>
  <c r="P1147"/>
  <c r="M1148"/>
  <c r="P1149"/>
  <c r="J1153"/>
  <c r="J1152" s="1"/>
  <c r="P1155"/>
  <c r="E1157"/>
  <c r="E1152" s="1"/>
  <c r="G1157"/>
  <c r="G1152" s="1"/>
  <c r="N1157"/>
  <c r="N1152" s="1"/>
  <c r="P1159"/>
  <c r="P1164"/>
  <c r="P1165"/>
  <c r="P1167"/>
  <c r="P1168"/>
  <c r="O999"/>
  <c r="D1004"/>
  <c r="Q999"/>
  <c r="H1009"/>
  <c r="H1008" s="1"/>
  <c r="Q1008" s="1"/>
  <c r="O1018"/>
  <c r="L1022"/>
  <c r="D1018"/>
  <c r="N1026"/>
  <c r="O1026"/>
  <c r="P1040"/>
  <c r="Q1053"/>
  <c r="N1063"/>
  <c r="P1069"/>
  <c r="L1080"/>
  <c r="Q1080" s="1"/>
  <c r="P1085"/>
  <c r="P1112"/>
  <c r="O1116"/>
  <c r="AB1118"/>
  <c r="AB1119"/>
  <c r="P1121"/>
  <c r="Q1143"/>
  <c r="P1144"/>
  <c r="V1149"/>
  <c r="V1119" s="1"/>
  <c r="O1152"/>
  <c r="P20"/>
  <c r="P19" s="1"/>
  <c r="M19"/>
  <c r="M18" s="1"/>
  <c r="D32"/>
  <c r="D27" s="1"/>
  <c r="D16"/>
  <c r="D14" s="1"/>
  <c r="M55"/>
  <c r="P57"/>
  <c r="P55" s="1"/>
  <c r="P54" s="1"/>
  <c r="P23"/>
  <c r="P29"/>
  <c r="P28" s="1"/>
  <c r="Q63"/>
  <c r="P68"/>
  <c r="P73"/>
  <c r="P72" s="1"/>
  <c r="O81"/>
  <c r="H1174"/>
  <c r="E1173"/>
  <c r="G1173"/>
  <c r="N1175"/>
  <c r="H1176"/>
  <c r="H1183" s="1"/>
  <c r="M1178"/>
  <c r="E1177"/>
  <c r="L1178"/>
  <c r="L1177" s="1"/>
  <c r="I1177"/>
  <c r="P110"/>
  <c r="D96"/>
  <c r="D122"/>
  <c r="P182"/>
  <c r="P181" s="1"/>
  <c r="M181"/>
  <c r="M180" s="1"/>
  <c r="D159"/>
  <c r="D185"/>
  <c r="P191"/>
  <c r="P190" s="1"/>
  <c r="P189" s="1"/>
  <c r="M190"/>
  <c r="M189" s="1"/>
  <c r="P222"/>
  <c r="D248"/>
  <c r="D243" s="1"/>
  <c r="D222"/>
  <c r="D383"/>
  <c r="D378" s="1"/>
  <c r="D276"/>
  <c r="B10"/>
  <c r="F10"/>
  <c r="J10"/>
  <c r="M11"/>
  <c r="O11"/>
  <c r="H12"/>
  <c r="L12"/>
  <c r="N12"/>
  <c r="I13"/>
  <c r="M13" s="1"/>
  <c r="O13"/>
  <c r="B14"/>
  <c r="F14"/>
  <c r="J14"/>
  <c r="K1177"/>
  <c r="M15"/>
  <c r="O15"/>
  <c r="H16"/>
  <c r="L16"/>
  <c r="N16"/>
  <c r="I19"/>
  <c r="I18" s="1"/>
  <c r="L21"/>
  <c r="L19" s="1"/>
  <c r="L18" s="1"/>
  <c r="Q18" s="1"/>
  <c r="N23"/>
  <c r="N18" s="1"/>
  <c r="I28"/>
  <c r="I27" s="1"/>
  <c r="M28"/>
  <c r="L30"/>
  <c r="L31"/>
  <c r="C32"/>
  <c r="C27" s="1"/>
  <c r="M32"/>
  <c r="M37"/>
  <c r="M41"/>
  <c r="N46"/>
  <c r="N45" s="1"/>
  <c r="M50"/>
  <c r="M45" s="1"/>
  <c r="N55"/>
  <c r="N54" s="1"/>
  <c r="L57"/>
  <c r="L55" s="1"/>
  <c r="L54" s="1"/>
  <c r="Q54" s="1"/>
  <c r="L58"/>
  <c r="M59"/>
  <c r="C64"/>
  <c r="C63" s="1"/>
  <c r="M64"/>
  <c r="M63" s="1"/>
  <c r="N68"/>
  <c r="N63" s="1"/>
  <c r="C73"/>
  <c r="C72" s="1"/>
  <c r="M73"/>
  <c r="M72" s="1"/>
  <c r="N77"/>
  <c r="N72" s="1"/>
  <c r="C82"/>
  <c r="C81" s="1"/>
  <c r="K82"/>
  <c r="K81" s="1"/>
  <c r="M82"/>
  <c r="M86"/>
  <c r="N91"/>
  <c r="L91"/>
  <c r="P97"/>
  <c r="P118"/>
  <c r="P117" s="1"/>
  <c r="P136"/>
  <c r="N154"/>
  <c r="L154"/>
  <c r="P160"/>
  <c r="P163"/>
  <c r="P162" s="1"/>
  <c r="L172"/>
  <c r="L171" s="1"/>
  <c r="P199"/>
  <c r="P203"/>
  <c r="N217"/>
  <c r="P220"/>
  <c r="P253"/>
  <c r="P257"/>
  <c r="P266"/>
  <c r="O271"/>
  <c r="P273"/>
  <c r="P289"/>
  <c r="P307"/>
  <c r="D333"/>
  <c r="P361"/>
  <c r="Q378"/>
  <c r="N388"/>
  <c r="L388"/>
  <c r="L387" s="1"/>
  <c r="N392"/>
  <c r="P394"/>
  <c r="L396"/>
  <c r="Q396" s="1"/>
  <c r="P406"/>
  <c r="F1173"/>
  <c r="N1174"/>
  <c r="H1175"/>
  <c r="H1182" s="1"/>
  <c r="O1175"/>
  <c r="F1177"/>
  <c r="N1178"/>
  <c r="N1177" s="1"/>
  <c r="H1179"/>
  <c r="M1179"/>
  <c r="P1179" s="1"/>
  <c r="D109"/>
  <c r="D108" s="1"/>
  <c r="D93"/>
  <c r="D91" s="1"/>
  <c r="D131"/>
  <c r="D126" s="1"/>
  <c r="D97"/>
  <c r="P146"/>
  <c r="P145" s="1"/>
  <c r="M145"/>
  <c r="M144" s="1"/>
  <c r="D167"/>
  <c r="D162" s="1"/>
  <c r="D160"/>
  <c r="P173"/>
  <c r="D181"/>
  <c r="D156"/>
  <c r="D154" s="1"/>
  <c r="P218"/>
  <c r="D219"/>
  <c r="D217" s="1"/>
  <c r="D226"/>
  <c r="D225" s="1"/>
  <c r="D239"/>
  <c r="D234" s="1"/>
  <c r="D223"/>
  <c r="D289"/>
  <c r="D288" s="1"/>
  <c r="D273"/>
  <c r="D271" s="1"/>
  <c r="D302"/>
  <c r="D297" s="1"/>
  <c r="D277"/>
  <c r="H11"/>
  <c r="H10" s="1"/>
  <c r="L11"/>
  <c r="N11"/>
  <c r="M12"/>
  <c r="O12"/>
  <c r="H13"/>
  <c r="N13"/>
  <c r="H15"/>
  <c r="H14" s="1"/>
  <c r="L15"/>
  <c r="L14" s="1"/>
  <c r="N15"/>
  <c r="N14" s="1"/>
  <c r="M16"/>
  <c r="O16"/>
  <c r="D117"/>
  <c r="P443"/>
  <c r="M442"/>
  <c r="D455"/>
  <c r="D450" s="1"/>
  <c r="D448"/>
  <c r="D444"/>
  <c r="D442" s="1"/>
  <c r="D469"/>
  <c r="D523"/>
  <c r="D522" s="1"/>
  <c r="D506"/>
  <c r="D1174" s="1"/>
  <c r="P524"/>
  <c r="P523" s="1"/>
  <c r="P522" s="1"/>
  <c r="M523"/>
  <c r="M522" s="1"/>
  <c r="D536"/>
  <c r="D510"/>
  <c r="D608"/>
  <c r="P686"/>
  <c r="D712"/>
  <c r="D711" s="1"/>
  <c r="D705"/>
  <c r="D703" s="1"/>
  <c r="P714"/>
  <c r="P712" s="1"/>
  <c r="P711" s="1"/>
  <c r="M712"/>
  <c r="M711" s="1"/>
  <c r="D725"/>
  <c r="D720" s="1"/>
  <c r="D709"/>
  <c r="D707" s="1"/>
  <c r="P731"/>
  <c r="P730" s="1"/>
  <c r="M730"/>
  <c r="M729" s="1"/>
  <c r="P745"/>
  <c r="P743" s="1"/>
  <c r="M743"/>
  <c r="P750"/>
  <c r="P748" s="1"/>
  <c r="M748"/>
  <c r="P816"/>
  <c r="P815" s="1"/>
  <c r="N815"/>
  <c r="N810" s="1"/>
  <c r="M820"/>
  <c r="P821"/>
  <c r="P820" s="1"/>
  <c r="P819" s="1"/>
  <c r="M92"/>
  <c r="H93"/>
  <c r="H91" s="1"/>
  <c r="M94"/>
  <c r="P94" s="1"/>
  <c r="M96"/>
  <c r="H97"/>
  <c r="H95" s="1"/>
  <c r="L110"/>
  <c r="L109" s="1"/>
  <c r="L108" s="1"/>
  <c r="Q108" s="1"/>
  <c r="M111"/>
  <c r="P111" s="1"/>
  <c r="M112"/>
  <c r="P112" s="1"/>
  <c r="M128"/>
  <c r="L147"/>
  <c r="L145" s="1"/>
  <c r="L144" s="1"/>
  <c r="Q144" s="1"/>
  <c r="L148"/>
  <c r="M155"/>
  <c r="H156"/>
  <c r="H154" s="1"/>
  <c r="M157"/>
  <c r="P157" s="1"/>
  <c r="M159"/>
  <c r="H160"/>
  <c r="H158" s="1"/>
  <c r="M174"/>
  <c r="P174" s="1"/>
  <c r="M175"/>
  <c r="P175" s="1"/>
  <c r="L182"/>
  <c r="L181" s="1"/>
  <c r="L180" s="1"/>
  <c r="Q180" s="1"/>
  <c r="N194"/>
  <c r="N189" s="1"/>
  <c r="N199"/>
  <c r="N198" s="1"/>
  <c r="M203"/>
  <c r="M198" s="1"/>
  <c r="H218"/>
  <c r="M219"/>
  <c r="P219" s="1"/>
  <c r="H220"/>
  <c r="H222"/>
  <c r="H221" s="1"/>
  <c r="M223"/>
  <c r="P223" s="1"/>
  <c r="L227"/>
  <c r="L226" s="1"/>
  <c r="L225" s="1"/>
  <c r="N253"/>
  <c r="N252" s="1"/>
  <c r="M262"/>
  <c r="M261" s="1"/>
  <c r="N266"/>
  <c r="N261" s="1"/>
  <c r="M272"/>
  <c r="H273"/>
  <c r="H271" s="1"/>
  <c r="M274"/>
  <c r="P274" s="1"/>
  <c r="M276"/>
  <c r="H277"/>
  <c r="H275" s="1"/>
  <c r="P294"/>
  <c r="P293" s="1"/>
  <c r="P299"/>
  <c r="P298" s="1"/>
  <c r="P312"/>
  <c r="P311" s="1"/>
  <c r="P317"/>
  <c r="P316" s="1"/>
  <c r="P315" s="1"/>
  <c r="P326"/>
  <c r="P325" s="1"/>
  <c r="P339"/>
  <c r="P338" s="1"/>
  <c r="P344"/>
  <c r="P343" s="1"/>
  <c r="P348"/>
  <c r="P347" s="1"/>
  <c r="P366"/>
  <c r="P365" s="1"/>
  <c r="P371"/>
  <c r="P370" s="1"/>
  <c r="P369" s="1"/>
  <c r="M389"/>
  <c r="O389"/>
  <c r="O388" s="1"/>
  <c r="H390"/>
  <c r="H388" s="1"/>
  <c r="M391"/>
  <c r="P391" s="1"/>
  <c r="M393"/>
  <c r="O393"/>
  <c r="O392" s="1"/>
  <c r="H394"/>
  <c r="H392" s="1"/>
  <c r="M398"/>
  <c r="P402"/>
  <c r="P401" s="1"/>
  <c r="P411"/>
  <c r="P410" s="1"/>
  <c r="M433"/>
  <c r="M432" s="1"/>
  <c r="P434"/>
  <c r="P433" s="1"/>
  <c r="P447"/>
  <c r="M446"/>
  <c r="D473"/>
  <c r="D447"/>
  <c r="D532"/>
  <c r="D507"/>
  <c r="D604"/>
  <c r="D766"/>
  <c r="D765" s="1"/>
  <c r="D759"/>
  <c r="D757" s="1"/>
  <c r="P794"/>
  <c r="M289"/>
  <c r="M288" s="1"/>
  <c r="M302"/>
  <c r="M297" s="1"/>
  <c r="C307"/>
  <c r="C306" s="1"/>
  <c r="M307"/>
  <c r="M306" s="1"/>
  <c r="M320"/>
  <c r="M315" s="1"/>
  <c r="C329"/>
  <c r="C324" s="1"/>
  <c r="M329"/>
  <c r="M324" s="1"/>
  <c r="C334"/>
  <c r="C333" s="1"/>
  <c r="M334"/>
  <c r="M333" s="1"/>
  <c r="M352"/>
  <c r="M356"/>
  <c r="C361"/>
  <c r="C360" s="1"/>
  <c r="M361"/>
  <c r="M360" s="1"/>
  <c r="M374"/>
  <c r="M369" s="1"/>
  <c r="C379"/>
  <c r="C378" s="1"/>
  <c r="M379"/>
  <c r="M378" s="1"/>
  <c r="E388"/>
  <c r="I388"/>
  <c r="E392"/>
  <c r="I392"/>
  <c r="C406"/>
  <c r="C405" s="1"/>
  <c r="M406"/>
  <c r="M405" s="1"/>
  <c r="Q423"/>
  <c r="P437"/>
  <c r="N442"/>
  <c r="L442"/>
  <c r="L441" s="1"/>
  <c r="P445"/>
  <c r="P448"/>
  <c r="P469"/>
  <c r="P468" s="1"/>
  <c r="P482"/>
  <c r="P496"/>
  <c r="P495" s="1"/>
  <c r="P507"/>
  <c r="P511"/>
  <c r="P536"/>
  <c r="P531" s="1"/>
  <c r="P550"/>
  <c r="D511"/>
  <c r="D558"/>
  <c r="P568"/>
  <c r="P572"/>
  <c r="N595"/>
  <c r="N594" s="1"/>
  <c r="L595"/>
  <c r="L594" s="1"/>
  <c r="P601"/>
  <c r="P608"/>
  <c r="P603" s="1"/>
  <c r="P631"/>
  <c r="P630" s="1"/>
  <c r="P658"/>
  <c r="P657" s="1"/>
  <c r="P680"/>
  <c r="L684"/>
  <c r="Q684" s="1"/>
  <c r="O703"/>
  <c r="P705"/>
  <c r="P709"/>
  <c r="P752"/>
  <c r="N757"/>
  <c r="P763"/>
  <c r="P779"/>
  <c r="P774" s="1"/>
  <c r="P807"/>
  <c r="P806" s="1"/>
  <c r="P829"/>
  <c r="P833"/>
  <c r="M865"/>
  <c r="M864" s="1"/>
  <c r="P866"/>
  <c r="P865" s="1"/>
  <c r="P864" s="1"/>
  <c r="M892"/>
  <c r="M891" s="1"/>
  <c r="P894"/>
  <c r="P892" s="1"/>
  <c r="P947"/>
  <c r="P993"/>
  <c r="P991" s="1"/>
  <c r="M991"/>
  <c r="M990" s="1"/>
  <c r="P1023"/>
  <c r="M1022"/>
  <c r="M1027"/>
  <c r="P1028"/>
  <c r="P1027" s="1"/>
  <c r="P1026" s="1"/>
  <c r="D1031"/>
  <c r="D1026" s="1"/>
  <c r="D1024"/>
  <c r="D1022" s="1"/>
  <c r="M415"/>
  <c r="M414" s="1"/>
  <c r="N419"/>
  <c r="N414" s="1"/>
  <c r="M424"/>
  <c r="M423" s="1"/>
  <c r="N428"/>
  <c r="N423" s="1"/>
  <c r="L434"/>
  <c r="L435"/>
  <c r="L436"/>
  <c r="H443"/>
  <c r="H445"/>
  <c r="H447"/>
  <c r="P479"/>
  <c r="P478" s="1"/>
  <c r="M506"/>
  <c r="H507"/>
  <c r="H505" s="1"/>
  <c r="M508"/>
  <c r="P508" s="1"/>
  <c r="M510"/>
  <c r="H511"/>
  <c r="H509" s="1"/>
  <c r="P515"/>
  <c r="P514" s="1"/>
  <c r="M550"/>
  <c r="M549" s="1"/>
  <c r="M559"/>
  <c r="M558" s="1"/>
  <c r="N563"/>
  <c r="N558" s="1"/>
  <c r="N568"/>
  <c r="N567" s="1"/>
  <c r="M572"/>
  <c r="M567" s="1"/>
  <c r="N577"/>
  <c r="N576" s="1"/>
  <c r="M596"/>
  <c r="H597"/>
  <c r="H595" s="1"/>
  <c r="M598"/>
  <c r="P598" s="1"/>
  <c r="M600"/>
  <c r="H601"/>
  <c r="H599" s="1"/>
  <c r="M640"/>
  <c r="M639" s="1"/>
  <c r="N644"/>
  <c r="N639" s="1"/>
  <c r="M668"/>
  <c r="M687"/>
  <c r="P687" s="1"/>
  <c r="P690"/>
  <c r="P689" s="1"/>
  <c r="M704"/>
  <c r="H705"/>
  <c r="H703" s="1"/>
  <c r="M706"/>
  <c r="P706" s="1"/>
  <c r="M708"/>
  <c r="H709"/>
  <c r="H707" s="1"/>
  <c r="L732"/>
  <c r="L730" s="1"/>
  <c r="L729" s="1"/>
  <c r="Q729" s="1"/>
  <c r="M741"/>
  <c r="L745"/>
  <c r="L743" s="1"/>
  <c r="L738" s="1"/>
  <c r="Q738" s="1"/>
  <c r="M752"/>
  <c r="M758"/>
  <c r="H759"/>
  <c r="H757" s="1"/>
  <c r="M760"/>
  <c r="P760" s="1"/>
  <c r="M762"/>
  <c r="H763"/>
  <c r="H761" s="1"/>
  <c r="M795"/>
  <c r="P795" s="1"/>
  <c r="P798"/>
  <c r="P797" s="1"/>
  <c r="H816"/>
  <c r="L821"/>
  <c r="L820" s="1"/>
  <c r="L819" s="1"/>
  <c r="Q819" s="1"/>
  <c r="M824"/>
  <c r="N829"/>
  <c r="N828" s="1"/>
  <c r="N838"/>
  <c r="N837" s="1"/>
  <c r="O856"/>
  <c r="N860"/>
  <c r="L860"/>
  <c r="P905"/>
  <c r="P914"/>
  <c r="P909" s="1"/>
  <c r="P924"/>
  <c r="P923" s="1"/>
  <c r="P959"/>
  <c r="P995"/>
  <c r="P1021"/>
  <c r="P1024"/>
  <c r="P1037"/>
  <c r="C888"/>
  <c r="H887"/>
  <c r="H882" s="1"/>
  <c r="P897"/>
  <c r="P896" s="1"/>
  <c r="N896"/>
  <c r="N891" s="1"/>
  <c r="D919"/>
  <c r="D858"/>
  <c r="D856" s="1"/>
  <c r="P951"/>
  <c r="P950" s="1"/>
  <c r="D948"/>
  <c r="D946" s="1"/>
  <c r="D955"/>
  <c r="D954" s="1"/>
  <c r="D952"/>
  <c r="D968"/>
  <c r="D963" s="1"/>
  <c r="P983"/>
  <c r="P982" s="1"/>
  <c r="P981" s="1"/>
  <c r="M982"/>
  <c r="M981" s="1"/>
  <c r="P1019"/>
  <c r="M1018"/>
  <c r="M1017" s="1"/>
  <c r="H444"/>
  <c r="H448"/>
  <c r="M469"/>
  <c r="M468" s="1"/>
  <c r="Q882"/>
  <c r="P949"/>
  <c r="P1004"/>
  <c r="D1017"/>
  <c r="D1094"/>
  <c r="D1068"/>
  <c r="D1067" s="1"/>
  <c r="P1131"/>
  <c r="P1137"/>
  <c r="D1128"/>
  <c r="D1126" s="1"/>
  <c r="D1144"/>
  <c r="M1153"/>
  <c r="P1154"/>
  <c r="P1153" s="1"/>
  <c r="H857"/>
  <c r="M858"/>
  <c r="P858" s="1"/>
  <c r="H859"/>
  <c r="H861"/>
  <c r="H860" s="1"/>
  <c r="M862"/>
  <c r="P862" s="1"/>
  <c r="M875"/>
  <c r="L877"/>
  <c r="L874" s="1"/>
  <c r="L873" s="1"/>
  <c r="Q873" s="1"/>
  <c r="N883"/>
  <c r="N888"/>
  <c r="N887" s="1"/>
  <c r="L894"/>
  <c r="L895"/>
  <c r="H897"/>
  <c r="M903"/>
  <c r="M904"/>
  <c r="P904" s="1"/>
  <c r="H924"/>
  <c r="M929"/>
  <c r="M930"/>
  <c r="P930" s="1"/>
  <c r="H947"/>
  <c r="M948"/>
  <c r="P948" s="1"/>
  <c r="H949"/>
  <c r="H951"/>
  <c r="H950" s="1"/>
  <c r="M952"/>
  <c r="P952" s="1"/>
  <c r="N995"/>
  <c r="N990" s="1"/>
  <c r="M1000"/>
  <c r="M999" s="1"/>
  <c r="N1004"/>
  <c r="N999" s="1"/>
  <c r="N1009"/>
  <c r="N1008" s="1"/>
  <c r="E1018"/>
  <c r="E1017" s="1"/>
  <c r="G1018"/>
  <c r="I1018"/>
  <c r="I1017" s="1"/>
  <c r="H1019"/>
  <c r="H1021"/>
  <c r="E1022"/>
  <c r="G1022"/>
  <c r="I1022"/>
  <c r="H1023"/>
  <c r="L1028"/>
  <c r="L1030"/>
  <c r="C1031"/>
  <c r="C1026" s="1"/>
  <c r="M1031"/>
  <c r="I1036"/>
  <c r="I1035" s="1"/>
  <c r="M1036"/>
  <c r="M1038"/>
  <c r="P1038" s="1"/>
  <c r="O1063"/>
  <c r="P1065"/>
  <c r="AB1115"/>
  <c r="AB1114" s="1"/>
  <c r="P1139"/>
  <c r="P1148"/>
  <c r="P1143" s="1"/>
  <c r="P1074"/>
  <c r="P1072" s="1"/>
  <c r="P1071" s="1"/>
  <c r="M1072"/>
  <c r="M1071" s="1"/>
  <c r="D1090"/>
  <c r="D1065"/>
  <c r="D1063" s="1"/>
  <c r="D1062" s="1"/>
  <c r="P1092"/>
  <c r="P1090" s="1"/>
  <c r="P1089" s="1"/>
  <c r="M1090"/>
  <c r="M1089" s="1"/>
  <c r="P1118"/>
  <c r="P1127"/>
  <c r="D1139"/>
  <c r="D1134" s="1"/>
  <c r="P1158"/>
  <c r="P1157" s="1"/>
  <c r="M1157"/>
  <c r="H1020"/>
  <c r="H1024"/>
  <c r="V1115"/>
  <c r="L1039"/>
  <c r="L1036" s="1"/>
  <c r="L1035" s="1"/>
  <c r="Q1035" s="1"/>
  <c r="M1040"/>
  <c r="M1064"/>
  <c r="H1065"/>
  <c r="H1063" s="1"/>
  <c r="M1066"/>
  <c r="P1066" s="1"/>
  <c r="M1068"/>
  <c r="H1069"/>
  <c r="H1067" s="1"/>
  <c r="L1074"/>
  <c r="L1072" s="1"/>
  <c r="L1071" s="1"/>
  <c r="Q1071" s="1"/>
  <c r="M1083"/>
  <c r="M1101"/>
  <c r="L1118"/>
  <c r="L1117" s="1"/>
  <c r="L1116" s="1"/>
  <c r="Q1116" s="1"/>
  <c r="M1119"/>
  <c r="P1119" s="1"/>
  <c r="M1120"/>
  <c r="P1120" s="1"/>
  <c r="H1127"/>
  <c r="H1126" s="1"/>
  <c r="M1128"/>
  <c r="P1128" s="1"/>
  <c r="M1129"/>
  <c r="P1129" s="1"/>
  <c r="H1131"/>
  <c r="H1130" s="1"/>
  <c r="M1132"/>
  <c r="P1132" s="1"/>
  <c r="L1137"/>
  <c r="L1135" s="1"/>
  <c r="L1134" s="1"/>
  <c r="Q1134" s="1"/>
  <c r="M1138"/>
  <c r="P1138" s="1"/>
  <c r="P1135" s="1"/>
  <c r="P1134" s="1"/>
  <c r="L1154"/>
  <c r="L1153" s="1"/>
  <c r="L1152" s="1"/>
  <c r="M1163"/>
  <c r="L1165"/>
  <c r="L1162" s="1"/>
  <c r="L1161" s="1"/>
  <c r="Q1161" s="1"/>
  <c r="M1108"/>
  <c r="M1107" s="1"/>
  <c r="H1158"/>
  <c r="K11" i="30"/>
  <c r="K10" s="1"/>
  <c r="C15"/>
  <c r="C10" s="1"/>
  <c r="K47" i="28"/>
  <c r="K46" s="1"/>
  <c r="G29"/>
  <c r="G28" s="1"/>
  <c r="G47"/>
  <c r="G46" s="1"/>
  <c r="F10" i="27"/>
  <c r="K130" i="25"/>
  <c r="K129" s="1"/>
  <c r="K148"/>
  <c r="K147" s="1"/>
  <c r="K256"/>
  <c r="K255" s="1"/>
  <c r="K265"/>
  <c r="K264" s="1"/>
  <c r="K274"/>
  <c r="K273" s="1"/>
  <c r="H265"/>
  <c r="H264" s="1"/>
  <c r="C323"/>
  <c r="C318" s="1"/>
  <c r="G20" i="24"/>
  <c r="G19" s="1"/>
  <c r="G30"/>
  <c r="G39"/>
  <c r="P29" i="23"/>
  <c r="L33"/>
  <c r="F33"/>
  <c r="I28"/>
  <c r="G28"/>
  <c r="D28"/>
  <c r="B28"/>
  <c r="P34"/>
  <c r="P33" s="1"/>
  <c r="M33"/>
  <c r="K33"/>
  <c r="M29"/>
  <c r="K29"/>
  <c r="K28" s="1"/>
  <c r="Q28" s="1"/>
  <c r="L29"/>
  <c r="F29"/>
  <c r="F28" s="1"/>
  <c r="J28"/>
  <c r="H28"/>
  <c r="E28"/>
  <c r="C28"/>
  <c r="O28"/>
  <c r="M28"/>
  <c r="P28"/>
  <c r="I37"/>
  <c r="E37"/>
  <c r="D64"/>
  <c r="B38"/>
  <c r="B37" s="1"/>
  <c r="F39"/>
  <c r="K38"/>
  <c r="K37" s="1"/>
  <c r="F43"/>
  <c r="F42" s="1"/>
  <c r="I56"/>
  <c r="I55" s="1"/>
  <c r="C64"/>
  <c r="E64"/>
  <c r="F19"/>
  <c r="K65"/>
  <c r="K64" s="1"/>
  <c r="I64"/>
  <c r="F64"/>
  <c r="F38"/>
  <c r="F37" s="1"/>
  <c r="K56"/>
  <c r="K55" s="1"/>
  <c r="C42"/>
  <c r="C37" s="1"/>
  <c r="G56"/>
  <c r="G55" s="1"/>
  <c r="G65"/>
  <c r="G64" s="1"/>
  <c r="G59" i="22"/>
  <c r="G58" s="1"/>
  <c r="H26" i="21"/>
  <c r="H20" s="1"/>
  <c r="D789" i="40" l="1"/>
  <c r="D788" s="1"/>
  <c r="D783" s="1"/>
  <c r="C788"/>
  <c r="C783" s="1"/>
  <c r="D642"/>
  <c r="C640"/>
  <c r="C639" s="1"/>
  <c r="AC1114"/>
  <c r="P999"/>
  <c r="P1018"/>
  <c r="P801"/>
  <c r="M351"/>
  <c r="D603"/>
  <c r="D531"/>
  <c r="P198"/>
  <c r="H1184"/>
  <c r="P1166"/>
  <c r="P1058"/>
  <c r="C1017"/>
  <c r="D900"/>
  <c r="P383"/>
  <c r="P379"/>
  <c r="Q126"/>
  <c r="D554"/>
  <c r="D549" s="1"/>
  <c r="O1126"/>
  <c r="P842"/>
  <c r="P837" s="1"/>
  <c r="O495"/>
  <c r="L1064"/>
  <c r="L1063" s="1"/>
  <c r="I504"/>
  <c r="H234"/>
  <c r="Q234" s="1"/>
  <c r="H171"/>
  <c r="P140"/>
  <c r="P135" s="1"/>
  <c r="O1176"/>
  <c r="K1174"/>
  <c r="C941"/>
  <c r="C936" s="1"/>
  <c r="I594"/>
  <c r="L950"/>
  <c r="N950"/>
  <c r="D905"/>
  <c r="P554"/>
  <c r="P549" s="1"/>
  <c r="D513"/>
  <c r="D862"/>
  <c r="D1149"/>
  <c r="D1148" s="1"/>
  <c r="D1143" s="1"/>
  <c r="C1148"/>
  <c r="C1143" s="1"/>
  <c r="D852"/>
  <c r="D851" s="1"/>
  <c r="C851"/>
  <c r="C846" s="1"/>
  <c r="D654"/>
  <c r="D653" s="1"/>
  <c r="D648" s="1"/>
  <c r="C653"/>
  <c r="P954"/>
  <c r="P513"/>
  <c r="N756"/>
  <c r="P297"/>
  <c r="Q225"/>
  <c r="Q171"/>
  <c r="I1125"/>
  <c r="Q1089"/>
  <c r="Q792"/>
  <c r="I1175"/>
  <c r="M1175" s="1"/>
  <c r="P1175" s="1"/>
  <c r="C1179"/>
  <c r="C648"/>
  <c r="P612"/>
  <c r="D846"/>
  <c r="C600"/>
  <c r="C599" s="1"/>
  <c r="P937"/>
  <c r="P936" s="1"/>
  <c r="H486"/>
  <c r="Q486" s="1"/>
  <c r="I1126"/>
  <c r="O1067"/>
  <c r="O1062" s="1"/>
  <c r="P1013"/>
  <c r="N446"/>
  <c r="N441" s="1"/>
  <c r="P1103"/>
  <c r="C905"/>
  <c r="C900" s="1"/>
  <c r="C862"/>
  <c r="L1175"/>
  <c r="D1014"/>
  <c r="C1013"/>
  <c r="C1008" s="1"/>
  <c r="C951"/>
  <c r="C950" s="1"/>
  <c r="P920"/>
  <c r="P919" s="1"/>
  <c r="P918" s="1"/>
  <c r="M919"/>
  <c r="M918" s="1"/>
  <c r="D429"/>
  <c r="C428"/>
  <c r="C393"/>
  <c r="C392" s="1"/>
  <c r="M1035"/>
  <c r="H756"/>
  <c r="H446"/>
  <c r="D446"/>
  <c r="H270"/>
  <c r="H153"/>
  <c r="D180"/>
  <c r="F1172"/>
  <c r="L28"/>
  <c r="L27" s="1"/>
  <c r="Q27" s="1"/>
  <c r="F9"/>
  <c r="P1107"/>
  <c r="O1130"/>
  <c r="O1125" s="1"/>
  <c r="L1126"/>
  <c r="L1125" s="1"/>
  <c r="C1089"/>
  <c r="L1067"/>
  <c r="P1054"/>
  <c r="P1053" s="1"/>
  <c r="P1049"/>
  <c r="N1018"/>
  <c r="N1017" s="1"/>
  <c r="P1009"/>
  <c r="P1008" s="1"/>
  <c r="C1067"/>
  <c r="C1062" s="1"/>
  <c r="P973"/>
  <c r="P972" s="1"/>
  <c r="N946"/>
  <c r="N945" s="1"/>
  <c r="L865"/>
  <c r="L864" s="1"/>
  <c r="Q864" s="1"/>
  <c r="P859"/>
  <c r="N856"/>
  <c r="N855" s="1"/>
  <c r="P851"/>
  <c r="P846" s="1"/>
  <c r="P811"/>
  <c r="P810" s="1"/>
  <c r="P734"/>
  <c r="P729" s="1"/>
  <c r="O707"/>
  <c r="D999"/>
  <c r="P639"/>
  <c r="P576"/>
  <c r="P558"/>
  <c r="P414"/>
  <c r="P648"/>
  <c r="P626"/>
  <c r="P621" s="1"/>
  <c r="P541"/>
  <c r="P540" s="1"/>
  <c r="P460"/>
  <c r="P459" s="1"/>
  <c r="P455"/>
  <c r="O446"/>
  <c r="O441" s="1"/>
  <c r="P390"/>
  <c r="P352"/>
  <c r="P351" s="1"/>
  <c r="P334"/>
  <c r="P333" s="1"/>
  <c r="P280"/>
  <c r="P279" s="1"/>
  <c r="P277"/>
  <c r="N271"/>
  <c r="N270" s="1"/>
  <c r="P244"/>
  <c r="P243" s="1"/>
  <c r="N221"/>
  <c r="L217"/>
  <c r="P208"/>
  <c r="P207" s="1"/>
  <c r="P185"/>
  <c r="P180" s="1"/>
  <c r="L158"/>
  <c r="L153" s="1"/>
  <c r="Q153" s="1"/>
  <c r="P156"/>
  <c r="P149"/>
  <c r="P104"/>
  <c r="P99" s="1"/>
  <c r="N95"/>
  <c r="N90" s="1"/>
  <c r="P82"/>
  <c r="P81" s="1"/>
  <c r="P64"/>
  <c r="P63" s="1"/>
  <c r="Q45"/>
  <c r="P37"/>
  <c r="P36" s="1"/>
  <c r="P32"/>
  <c r="P27" s="1"/>
  <c r="J1177"/>
  <c r="K9"/>
  <c r="C945"/>
  <c r="C801"/>
  <c r="L703"/>
  <c r="L702" s="1"/>
  <c r="N703"/>
  <c r="N702" s="1"/>
  <c r="P698"/>
  <c r="P693" s="1"/>
  <c r="C504"/>
  <c r="C446"/>
  <c r="C441" s="1"/>
  <c r="I91"/>
  <c r="I90" s="1"/>
  <c r="C423"/>
  <c r="C216"/>
  <c r="C153"/>
  <c r="C90"/>
  <c r="D12"/>
  <c r="D10" s="1"/>
  <c r="O861"/>
  <c r="G860"/>
  <c r="G855" s="1"/>
  <c r="L857"/>
  <c r="L856" s="1"/>
  <c r="L855" s="1"/>
  <c r="I856"/>
  <c r="I855" s="1"/>
  <c r="L759"/>
  <c r="L757" s="1"/>
  <c r="L756" s="1"/>
  <c r="I757"/>
  <c r="I756" s="1"/>
  <c r="D399"/>
  <c r="C397"/>
  <c r="C396" s="1"/>
  <c r="C390"/>
  <c r="C388" s="1"/>
  <c r="D672"/>
  <c r="D671" s="1"/>
  <c r="D666" s="1"/>
  <c r="C671"/>
  <c r="C666" s="1"/>
  <c r="D663"/>
  <c r="C662"/>
  <c r="C657" s="1"/>
  <c r="C10"/>
  <c r="C9" s="1"/>
  <c r="O702"/>
  <c r="P675"/>
  <c r="P144"/>
  <c r="N1173"/>
  <c r="N216"/>
  <c r="L90"/>
  <c r="M1143"/>
  <c r="N1126"/>
  <c r="N1125" s="1"/>
  <c r="Q1098"/>
  <c r="N1067"/>
  <c r="N1062" s="1"/>
  <c r="P1045"/>
  <c r="P1044" s="1"/>
  <c r="O1022"/>
  <c r="O1017" s="1"/>
  <c r="L1017"/>
  <c r="P964"/>
  <c r="P963" s="1"/>
  <c r="O950"/>
  <c r="O945" s="1"/>
  <c r="L946"/>
  <c r="L945" s="1"/>
  <c r="O761"/>
  <c r="O756" s="1"/>
  <c r="P450"/>
  <c r="P423"/>
  <c r="I1174"/>
  <c r="O599"/>
  <c r="O594" s="1"/>
  <c r="P586"/>
  <c r="P585" s="1"/>
  <c r="O509"/>
  <c r="O505"/>
  <c r="M495"/>
  <c r="G387"/>
  <c r="P378"/>
  <c r="P329"/>
  <c r="P324" s="1"/>
  <c r="D324"/>
  <c r="O275"/>
  <c r="O270" s="1"/>
  <c r="L271"/>
  <c r="L270" s="1"/>
  <c r="P262"/>
  <c r="P261" s="1"/>
  <c r="P225"/>
  <c r="L221"/>
  <c r="N158"/>
  <c r="N153" s="1"/>
  <c r="O154"/>
  <c r="O153" s="1"/>
  <c r="L95"/>
  <c r="Q72"/>
  <c r="P46"/>
  <c r="P45" s="1"/>
  <c r="G1178"/>
  <c r="J1173"/>
  <c r="D801"/>
  <c r="I702"/>
  <c r="F702"/>
  <c r="C594"/>
  <c r="C270"/>
  <c r="H387"/>
  <c r="Q387" s="1"/>
  <c r="H702"/>
  <c r="Q702" s="1"/>
  <c r="H594"/>
  <c r="Q594" s="1"/>
  <c r="H90"/>
  <c r="P1083"/>
  <c r="P1081" s="1"/>
  <c r="P1080" s="1"/>
  <c r="M1081"/>
  <c r="M1080" s="1"/>
  <c r="P1064"/>
  <c r="P1063" s="1"/>
  <c r="M1063"/>
  <c r="H1157"/>
  <c r="H1152" s="1"/>
  <c r="C1158"/>
  <c r="P1163"/>
  <c r="P1162" s="1"/>
  <c r="P1161" s="1"/>
  <c r="M1162"/>
  <c r="M1161" s="1"/>
  <c r="P1101"/>
  <c r="P1099" s="1"/>
  <c r="P1098" s="1"/>
  <c r="M1099"/>
  <c r="M1098" s="1"/>
  <c r="P1068"/>
  <c r="P1067" s="1"/>
  <c r="M1067"/>
  <c r="P929"/>
  <c r="P928" s="1"/>
  <c r="P927" s="1"/>
  <c r="M928"/>
  <c r="M927" s="1"/>
  <c r="H896"/>
  <c r="H891" s="1"/>
  <c r="C897"/>
  <c r="P875"/>
  <c r="P874" s="1"/>
  <c r="P873" s="1"/>
  <c r="M874"/>
  <c r="M873" s="1"/>
  <c r="P758"/>
  <c r="P757" s="1"/>
  <c r="M757"/>
  <c r="M756" s="1"/>
  <c r="P708"/>
  <c r="P707" s="1"/>
  <c r="M707"/>
  <c r="P668"/>
  <c r="P667" s="1"/>
  <c r="P666" s="1"/>
  <c r="M667"/>
  <c r="M666" s="1"/>
  <c r="P600"/>
  <c r="P599" s="1"/>
  <c r="M599"/>
  <c r="P510"/>
  <c r="P509" s="1"/>
  <c r="M509"/>
  <c r="P393"/>
  <c r="P392" s="1"/>
  <c r="M392"/>
  <c r="P389"/>
  <c r="P388" s="1"/>
  <c r="P387" s="1"/>
  <c r="M388"/>
  <c r="M387" s="1"/>
  <c r="P276"/>
  <c r="P275" s="1"/>
  <c r="M275"/>
  <c r="P159"/>
  <c r="P158" s="1"/>
  <c r="M158"/>
  <c r="P128"/>
  <c r="P127" s="1"/>
  <c r="P126" s="1"/>
  <c r="M127"/>
  <c r="M126" s="1"/>
  <c r="P92"/>
  <c r="P91" s="1"/>
  <c r="M91"/>
  <c r="M90" s="1"/>
  <c r="P15"/>
  <c r="M14"/>
  <c r="I1176"/>
  <c r="L13"/>
  <c r="L10" s="1"/>
  <c r="L9" s="1"/>
  <c r="I10"/>
  <c r="I9" s="1"/>
  <c r="Q1152"/>
  <c r="P1126"/>
  <c r="P1117"/>
  <c r="P1116" s="1"/>
  <c r="H1125"/>
  <c r="M1126"/>
  <c r="M1117"/>
  <c r="M1116" s="1"/>
  <c r="D1089"/>
  <c r="L1027"/>
  <c r="L1026" s="1"/>
  <c r="Q1026" s="1"/>
  <c r="H1018"/>
  <c r="G1017"/>
  <c r="H946"/>
  <c r="H945" s="1"/>
  <c r="Q945" s="1"/>
  <c r="L892"/>
  <c r="L891" s="1"/>
  <c r="Q891" s="1"/>
  <c r="N882"/>
  <c r="P1152"/>
  <c r="M1130"/>
  <c r="P891"/>
  <c r="M950"/>
  <c r="M860"/>
  <c r="P1036"/>
  <c r="P1035" s="1"/>
  <c r="P990"/>
  <c r="P477"/>
  <c r="L433"/>
  <c r="L432" s="1"/>
  <c r="Q432" s="1"/>
  <c r="M1026"/>
  <c r="P1022"/>
  <c r="P1017" s="1"/>
  <c r="P946"/>
  <c r="P945" s="1"/>
  <c r="P856"/>
  <c r="P828"/>
  <c r="P567"/>
  <c r="E387"/>
  <c r="M793"/>
  <c r="M792" s="1"/>
  <c r="P446"/>
  <c r="P747"/>
  <c r="P342"/>
  <c r="H217"/>
  <c r="H216" s="1"/>
  <c r="M819"/>
  <c r="M685"/>
  <c r="M684" s="1"/>
  <c r="D441"/>
  <c r="P442"/>
  <c r="P16"/>
  <c r="P12"/>
  <c r="P217"/>
  <c r="M172"/>
  <c r="M171" s="1"/>
  <c r="N1172"/>
  <c r="P405"/>
  <c r="N387"/>
  <c r="P288"/>
  <c r="P252"/>
  <c r="M81"/>
  <c r="M36"/>
  <c r="O10"/>
  <c r="J9"/>
  <c r="B9"/>
  <c r="P221"/>
  <c r="D158"/>
  <c r="D153" s="1"/>
  <c r="D95"/>
  <c r="D90" s="1"/>
  <c r="M109"/>
  <c r="M108" s="1"/>
  <c r="H1173"/>
  <c r="D9"/>
  <c r="M54"/>
  <c r="P18"/>
  <c r="C924"/>
  <c r="H923"/>
  <c r="H918" s="1"/>
  <c r="Q918" s="1"/>
  <c r="P903"/>
  <c r="P901" s="1"/>
  <c r="P900" s="1"/>
  <c r="M901"/>
  <c r="M900" s="1"/>
  <c r="C887"/>
  <c r="C882" s="1"/>
  <c r="C861"/>
  <c r="C860" s="1"/>
  <c r="C855" s="1"/>
  <c r="D888"/>
  <c r="C816"/>
  <c r="H815"/>
  <c r="H810" s="1"/>
  <c r="Q810" s="1"/>
  <c r="P762"/>
  <c r="P761" s="1"/>
  <c r="M761"/>
  <c r="P741"/>
  <c r="P739" s="1"/>
  <c r="P738" s="1"/>
  <c r="M739"/>
  <c r="M738" s="1"/>
  <c r="P704"/>
  <c r="P703" s="1"/>
  <c r="P702" s="1"/>
  <c r="M703"/>
  <c r="P596"/>
  <c r="P595" s="1"/>
  <c r="P594" s="1"/>
  <c r="M595"/>
  <c r="P506"/>
  <c r="P505" s="1"/>
  <c r="P504" s="1"/>
  <c r="M505"/>
  <c r="P398"/>
  <c r="P397" s="1"/>
  <c r="P396" s="1"/>
  <c r="M397"/>
  <c r="M396" s="1"/>
  <c r="P272"/>
  <c r="P271" s="1"/>
  <c r="P270" s="1"/>
  <c r="M271"/>
  <c r="P155"/>
  <c r="P154" s="1"/>
  <c r="P153" s="1"/>
  <c r="M154"/>
  <c r="P96"/>
  <c r="P95" s="1"/>
  <c r="M95"/>
  <c r="P11"/>
  <c r="M10"/>
  <c r="M1177"/>
  <c r="Q1125"/>
  <c r="H1062"/>
  <c r="H1022"/>
  <c r="H856"/>
  <c r="H855" s="1"/>
  <c r="M1152"/>
  <c r="M1135"/>
  <c r="M1134" s="1"/>
  <c r="P1130"/>
  <c r="Q855"/>
  <c r="P888"/>
  <c r="P887" s="1"/>
  <c r="P882" s="1"/>
  <c r="H442"/>
  <c r="H441" s="1"/>
  <c r="Q441" s="1"/>
  <c r="M946"/>
  <c r="M856"/>
  <c r="Q756"/>
  <c r="H504"/>
  <c r="Q504" s="1"/>
  <c r="I387"/>
  <c r="P793"/>
  <c r="P792" s="1"/>
  <c r="P432"/>
  <c r="O387"/>
  <c r="M747"/>
  <c r="D702"/>
  <c r="P685"/>
  <c r="P684" s="1"/>
  <c r="D509"/>
  <c r="D505"/>
  <c r="D468"/>
  <c r="M441"/>
  <c r="N10"/>
  <c r="N9" s="1"/>
  <c r="H9"/>
  <c r="M217"/>
  <c r="P172"/>
  <c r="P171" s="1"/>
  <c r="P360"/>
  <c r="P306"/>
  <c r="Q90"/>
  <c r="M27"/>
  <c r="O14"/>
  <c r="P13"/>
  <c r="D275"/>
  <c r="D270" s="1"/>
  <c r="D221"/>
  <c r="D216" s="1"/>
  <c r="M221"/>
  <c r="P109"/>
  <c r="P108" s="1"/>
  <c r="E1172"/>
  <c r="D1179"/>
  <c r="K30" i="24"/>
  <c r="K29" s="1"/>
  <c r="K28" s="1"/>
  <c r="G29"/>
  <c r="G28" s="1"/>
  <c r="K39"/>
  <c r="K38" s="1"/>
  <c r="K37" s="1"/>
  <c r="G38"/>
  <c r="G37" s="1"/>
  <c r="L28" i="23"/>
  <c r="D597" i="40" l="1"/>
  <c r="D595" s="1"/>
  <c r="D640"/>
  <c r="D639" s="1"/>
  <c r="M945"/>
  <c r="J1172"/>
  <c r="C387"/>
  <c r="L1062"/>
  <c r="Q1062" s="1"/>
  <c r="O1174"/>
  <c r="O1173" s="1"/>
  <c r="K1173"/>
  <c r="K1172" s="1"/>
  <c r="P10"/>
  <c r="D662"/>
  <c r="D657" s="1"/>
  <c r="D600"/>
  <c r="D599" s="1"/>
  <c r="D594" s="1"/>
  <c r="D1013"/>
  <c r="D1008" s="1"/>
  <c r="D951"/>
  <c r="D950" s="1"/>
  <c r="D945" s="1"/>
  <c r="D504"/>
  <c r="O504"/>
  <c r="C1175"/>
  <c r="C1173" s="1"/>
  <c r="H1178"/>
  <c r="H1177" s="1"/>
  <c r="H1172" s="1"/>
  <c r="O1178"/>
  <c r="G1177"/>
  <c r="G1172" s="1"/>
  <c r="L1174"/>
  <c r="M1174"/>
  <c r="P1174" s="1"/>
  <c r="D390"/>
  <c r="D397"/>
  <c r="D396" s="1"/>
  <c r="O860"/>
  <c r="O855" s="1"/>
  <c r="P861"/>
  <c r="P860" s="1"/>
  <c r="D428"/>
  <c r="D423" s="1"/>
  <c r="D393"/>
  <c r="D392" s="1"/>
  <c r="M216"/>
  <c r="Q9"/>
  <c r="L216"/>
  <c r="Q216" s="1"/>
  <c r="Q270"/>
  <c r="C815"/>
  <c r="C810" s="1"/>
  <c r="D816"/>
  <c r="C762"/>
  <c r="D897"/>
  <c r="D896" s="1"/>
  <c r="D891" s="1"/>
  <c r="C896"/>
  <c r="C891" s="1"/>
  <c r="D1158"/>
  <c r="C1131"/>
  <c r="C1130" s="1"/>
  <c r="C1125" s="1"/>
  <c r="C1157"/>
  <c r="C1152" s="1"/>
  <c r="D887"/>
  <c r="D882" s="1"/>
  <c r="C923"/>
  <c r="C918" s="1"/>
  <c r="D924"/>
  <c r="D923" s="1"/>
  <c r="D918" s="1"/>
  <c r="L1176"/>
  <c r="I1173"/>
  <c r="I1172" s="1"/>
  <c r="M1176"/>
  <c r="P855"/>
  <c r="H1017"/>
  <c r="Q1017" s="1"/>
  <c r="M1125"/>
  <c r="M1062"/>
  <c r="M855"/>
  <c r="M9"/>
  <c r="M153"/>
  <c r="M270"/>
  <c r="M504"/>
  <c r="M594"/>
  <c r="M702"/>
  <c r="O9"/>
  <c r="P216"/>
  <c r="P441"/>
  <c r="P1125"/>
  <c r="P14"/>
  <c r="P9" s="1"/>
  <c r="P90"/>
  <c r="P756"/>
  <c r="P1062"/>
  <c r="L1173" l="1"/>
  <c r="L1172" s="1"/>
  <c r="D388"/>
  <c r="D387" s="1"/>
  <c r="D1175"/>
  <c r="D1173" s="1"/>
  <c r="O1177"/>
  <c r="O1172" s="1"/>
  <c r="P1178"/>
  <c r="P1177" s="1"/>
  <c r="Q1172"/>
  <c r="P1176"/>
  <c r="P1173" s="1"/>
  <c r="P1172" s="1"/>
  <c r="M1173"/>
  <c r="M1172" s="1"/>
  <c r="C761"/>
  <c r="C756" s="1"/>
  <c r="C1178"/>
  <c r="C1177" s="1"/>
  <c r="C1172" s="1"/>
  <c r="D1157"/>
  <c r="D1152" s="1"/>
  <c r="D1131"/>
  <c r="D1130" s="1"/>
  <c r="D1125" s="1"/>
  <c r="D815"/>
  <c r="D810" s="1"/>
  <c r="D762"/>
  <c r="D861"/>
  <c r="D860" s="1"/>
  <c r="D855" s="1"/>
  <c r="D761" l="1"/>
  <c r="D756" s="1"/>
  <c r="D1178"/>
  <c r="D1177" s="1"/>
  <c r="D1172" s="1"/>
  <c r="K46" i="12" l="1"/>
  <c r="F46"/>
  <c r="K45"/>
  <c r="F45"/>
  <c r="K44"/>
  <c r="J44"/>
  <c r="I44"/>
  <c r="H44"/>
  <c r="G44"/>
  <c r="F44"/>
  <c r="E44"/>
  <c r="D44"/>
  <c r="C44"/>
  <c r="B44"/>
  <c r="K43"/>
  <c r="F43"/>
  <c r="K42"/>
  <c r="F42"/>
  <c r="K41"/>
  <c r="F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7"/>
  <c r="F37"/>
  <c r="K36"/>
  <c r="F36"/>
  <c r="K35"/>
  <c r="J35"/>
  <c r="I35"/>
  <c r="I30" s="1"/>
  <c r="H35"/>
  <c r="G35"/>
  <c r="F35"/>
  <c r="E35"/>
  <c r="E30" s="1"/>
  <c r="D35"/>
  <c r="C35"/>
  <c r="C30" s="1"/>
  <c r="B35"/>
  <c r="K34"/>
  <c r="G34"/>
  <c r="F34"/>
  <c r="G33"/>
  <c r="K33" s="1"/>
  <c r="F33"/>
  <c r="K32"/>
  <c r="K31" s="1"/>
  <c r="K30" s="1"/>
  <c r="G32"/>
  <c r="F32"/>
  <c r="J31"/>
  <c r="I31"/>
  <c r="H31"/>
  <c r="F31"/>
  <c r="E31"/>
  <c r="D31"/>
  <c r="C31"/>
  <c r="B31"/>
  <c r="J30"/>
  <c r="H30"/>
  <c r="F30"/>
  <c r="D30"/>
  <c r="B30"/>
  <c r="K28"/>
  <c r="F28"/>
  <c r="F26" s="1"/>
  <c r="F20" s="1"/>
  <c r="J27"/>
  <c r="J26" s="1"/>
  <c r="J20" s="1"/>
  <c r="H27"/>
  <c r="G27"/>
  <c r="K27" s="1"/>
  <c r="K26" s="1"/>
  <c r="K20" s="1"/>
  <c r="F27"/>
  <c r="I26"/>
  <c r="H26"/>
  <c r="G26"/>
  <c r="E26"/>
  <c r="D26"/>
  <c r="C26"/>
  <c r="B26"/>
  <c r="K25"/>
  <c r="F25"/>
  <c r="K24"/>
  <c r="F24"/>
  <c r="K23"/>
  <c r="F23"/>
  <c r="K22"/>
  <c r="F22"/>
  <c r="K21"/>
  <c r="J21"/>
  <c r="I21"/>
  <c r="H21"/>
  <c r="G21"/>
  <c r="F21"/>
  <c r="E21"/>
  <c r="D21"/>
  <c r="C21"/>
  <c r="B21"/>
  <c r="I20"/>
  <c r="H20"/>
  <c r="G20"/>
  <c r="E20"/>
  <c r="D20"/>
  <c r="C20"/>
  <c r="B20"/>
  <c r="J18" i="19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E18"/>
  <c r="D18"/>
  <c r="C18"/>
  <c r="B18"/>
  <c r="E17"/>
  <c r="D17"/>
  <c r="C17"/>
  <c r="B17"/>
  <c r="E14"/>
  <c r="D14"/>
  <c r="C14"/>
  <c r="B14"/>
  <c r="E13"/>
  <c r="D13"/>
  <c r="C13"/>
  <c r="B13"/>
  <c r="B15"/>
  <c r="C15"/>
  <c r="D15"/>
  <c r="E15"/>
  <c r="E12"/>
  <c r="D12"/>
  <c r="C12"/>
  <c r="B12"/>
  <c r="O73"/>
  <c r="M73"/>
  <c r="L73"/>
  <c r="P73" s="1"/>
  <c r="K73"/>
  <c r="F73"/>
  <c r="O72"/>
  <c r="M72"/>
  <c r="L72"/>
  <c r="P72" s="1"/>
  <c r="P71" s="1"/>
  <c r="K72"/>
  <c r="F72"/>
  <c r="F71" s="1"/>
  <c r="F66" s="1"/>
  <c r="O71"/>
  <c r="O66" s="1"/>
  <c r="N71"/>
  <c r="M71"/>
  <c r="K71"/>
  <c r="J71"/>
  <c r="I71"/>
  <c r="I66" s="1"/>
  <c r="H71"/>
  <c r="G71"/>
  <c r="G66" s="1"/>
  <c r="E71"/>
  <c r="E66" s="1"/>
  <c r="D71"/>
  <c r="C71"/>
  <c r="C66" s="1"/>
  <c r="B71"/>
  <c r="O70"/>
  <c r="M70"/>
  <c r="P70" s="1"/>
  <c r="L70"/>
  <c r="K70"/>
  <c r="F70"/>
  <c r="O69"/>
  <c r="M69"/>
  <c r="P69" s="1"/>
  <c r="L69"/>
  <c r="K69"/>
  <c r="F69"/>
  <c r="O68"/>
  <c r="M68"/>
  <c r="P68" s="1"/>
  <c r="P67" s="1"/>
  <c r="P66" s="1"/>
  <c r="L68"/>
  <c r="K68"/>
  <c r="K67" s="1"/>
  <c r="K66" s="1"/>
  <c r="Q66" s="1"/>
  <c r="F68"/>
  <c r="O67"/>
  <c r="N67"/>
  <c r="L67"/>
  <c r="J67"/>
  <c r="I67"/>
  <c r="H67"/>
  <c r="G67"/>
  <c r="F67"/>
  <c r="E67"/>
  <c r="D67"/>
  <c r="C67"/>
  <c r="B67"/>
  <c r="N66"/>
  <c r="J66"/>
  <c r="H66"/>
  <c r="D66"/>
  <c r="B66"/>
  <c r="K64"/>
  <c r="F64"/>
  <c r="K63"/>
  <c r="F63"/>
  <c r="K62"/>
  <c r="J62"/>
  <c r="J57" s="1"/>
  <c r="I62"/>
  <c r="H62"/>
  <c r="H57" s="1"/>
  <c r="G62"/>
  <c r="F62"/>
  <c r="E62"/>
  <c r="D62"/>
  <c r="D57" s="1"/>
  <c r="C62"/>
  <c r="B62"/>
  <c r="B57" s="1"/>
  <c r="G61"/>
  <c r="K61" s="1"/>
  <c r="F61"/>
  <c r="K60"/>
  <c r="G60"/>
  <c r="F60"/>
  <c r="F58" s="1"/>
  <c r="F57" s="1"/>
  <c r="G59"/>
  <c r="K59" s="1"/>
  <c r="K58" s="1"/>
  <c r="K57" s="1"/>
  <c r="F59"/>
  <c r="J58"/>
  <c r="I58"/>
  <c r="H58"/>
  <c r="G58"/>
  <c r="E58"/>
  <c r="D58"/>
  <c r="C58"/>
  <c r="B58"/>
  <c r="I57"/>
  <c r="G57"/>
  <c r="E57"/>
  <c r="C57"/>
  <c r="K55"/>
  <c r="F55"/>
  <c r="K54"/>
  <c r="F54"/>
  <c r="K53"/>
  <c r="J53"/>
  <c r="I53"/>
  <c r="H53"/>
  <c r="G53"/>
  <c r="F53"/>
  <c r="E53"/>
  <c r="D53"/>
  <c r="C53"/>
  <c r="B53"/>
  <c r="K52"/>
  <c r="F52"/>
  <c r="K51"/>
  <c r="F51"/>
  <c r="K50"/>
  <c r="F50"/>
  <c r="K49"/>
  <c r="J49"/>
  <c r="I49"/>
  <c r="H49"/>
  <c r="G49"/>
  <c r="F49"/>
  <c r="E49"/>
  <c r="D49"/>
  <c r="C49"/>
  <c r="B49"/>
  <c r="K48"/>
  <c r="J48"/>
  <c r="I48"/>
  <c r="H48"/>
  <c r="G48"/>
  <c r="F48"/>
  <c r="E48"/>
  <c r="D48"/>
  <c r="C48"/>
  <c r="B48"/>
  <c r="K46"/>
  <c r="F46"/>
  <c r="K45"/>
  <c r="F45"/>
  <c r="K44"/>
  <c r="J44"/>
  <c r="I44"/>
  <c r="H44"/>
  <c r="G44"/>
  <c r="F44"/>
  <c r="E44"/>
  <c r="D44"/>
  <c r="C44"/>
  <c r="B44"/>
  <c r="K43"/>
  <c r="F43"/>
  <c r="K42"/>
  <c r="G42"/>
  <c r="F42"/>
  <c r="F40" s="1"/>
  <c r="F39" s="1"/>
  <c r="I41"/>
  <c r="H41"/>
  <c r="G41"/>
  <c r="K41" s="1"/>
  <c r="K40" s="1"/>
  <c r="K39" s="1"/>
  <c r="F41"/>
  <c r="J40"/>
  <c r="I40"/>
  <c r="H40"/>
  <c r="G40"/>
  <c r="E40"/>
  <c r="D40"/>
  <c r="C40"/>
  <c r="B40"/>
  <c r="J39"/>
  <c r="I39"/>
  <c r="H39"/>
  <c r="G39"/>
  <c r="E39"/>
  <c r="D39"/>
  <c r="C39"/>
  <c r="B39"/>
  <c r="K37"/>
  <c r="F37"/>
  <c r="K36"/>
  <c r="F36"/>
  <c r="K35"/>
  <c r="J35"/>
  <c r="I35"/>
  <c r="H35"/>
  <c r="G35"/>
  <c r="F35"/>
  <c r="E35"/>
  <c r="D35"/>
  <c r="C35"/>
  <c r="B35"/>
  <c r="K34"/>
  <c r="F34"/>
  <c r="K33"/>
  <c r="F33"/>
  <c r="K32"/>
  <c r="F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8"/>
  <c r="F28"/>
  <c r="K27"/>
  <c r="K26" s="1"/>
  <c r="H27"/>
  <c r="F27"/>
  <c r="F26" s="1"/>
  <c r="J26"/>
  <c r="H26"/>
  <c r="G26"/>
  <c r="G20" s="1"/>
  <c r="E26"/>
  <c r="E20" s="1"/>
  <c r="D26"/>
  <c r="C26"/>
  <c r="C20" s="1"/>
  <c r="B26"/>
  <c r="K25"/>
  <c r="F25"/>
  <c r="K24"/>
  <c r="F24"/>
  <c r="K23"/>
  <c r="K21" s="1"/>
  <c r="K20" s="1"/>
  <c r="H23"/>
  <c r="C23"/>
  <c r="B23"/>
  <c r="F23" s="1"/>
  <c r="F21" s="1"/>
  <c r="F20" s="1"/>
  <c r="K22"/>
  <c r="F22"/>
  <c r="J21"/>
  <c r="I21"/>
  <c r="H21"/>
  <c r="G21"/>
  <c r="E21"/>
  <c r="D21"/>
  <c r="C21"/>
  <c r="B21"/>
  <c r="J20"/>
  <c r="I20"/>
  <c r="H20"/>
  <c r="D20"/>
  <c r="B20"/>
  <c r="K200" i="18"/>
  <c r="F200"/>
  <c r="K199"/>
  <c r="F199"/>
  <c r="K198"/>
  <c r="J198"/>
  <c r="I198"/>
  <c r="H198"/>
  <c r="G198"/>
  <c r="F198"/>
  <c r="E198"/>
  <c r="D198"/>
  <c r="C198"/>
  <c r="B198"/>
  <c r="K197"/>
  <c r="F197"/>
  <c r="G196"/>
  <c r="K196" s="1"/>
  <c r="F196"/>
  <c r="K195"/>
  <c r="K194" s="1"/>
  <c r="K193" s="1"/>
  <c r="G195"/>
  <c r="F195"/>
  <c r="J194"/>
  <c r="I194"/>
  <c r="H194"/>
  <c r="F194"/>
  <c r="E194"/>
  <c r="D194"/>
  <c r="C194"/>
  <c r="B194"/>
  <c r="J193"/>
  <c r="I193"/>
  <c r="H193"/>
  <c r="F193"/>
  <c r="E193"/>
  <c r="D193"/>
  <c r="C193"/>
  <c r="B193"/>
  <c r="K191"/>
  <c r="F191"/>
  <c r="K190"/>
  <c r="F190"/>
  <c r="F189" s="1"/>
  <c r="F184" s="1"/>
  <c r="E190"/>
  <c r="K189"/>
  <c r="J189"/>
  <c r="I189"/>
  <c r="I184" s="1"/>
  <c r="H189"/>
  <c r="G189"/>
  <c r="G184" s="1"/>
  <c r="E189"/>
  <c r="E184" s="1"/>
  <c r="D189"/>
  <c r="C189"/>
  <c r="C184" s="1"/>
  <c r="B189"/>
  <c r="K188"/>
  <c r="F188"/>
  <c r="K187"/>
  <c r="G187"/>
  <c r="F187"/>
  <c r="H186"/>
  <c r="G186"/>
  <c r="K186" s="1"/>
  <c r="K185" s="1"/>
  <c r="K184" s="1"/>
  <c r="F186"/>
  <c r="J185"/>
  <c r="I185"/>
  <c r="H185"/>
  <c r="G185"/>
  <c r="F185"/>
  <c r="E185"/>
  <c r="D185"/>
  <c r="C185"/>
  <c r="B185"/>
  <c r="J184"/>
  <c r="H184"/>
  <c r="D184"/>
  <c r="B184"/>
  <c r="K182"/>
  <c r="F182"/>
  <c r="K181"/>
  <c r="F181"/>
  <c r="K180"/>
  <c r="J180"/>
  <c r="I180"/>
  <c r="H180"/>
  <c r="G180"/>
  <c r="F180"/>
  <c r="E180"/>
  <c r="D180"/>
  <c r="C180"/>
  <c r="B180"/>
  <c r="G179"/>
  <c r="K179" s="1"/>
  <c r="F179"/>
  <c r="K178"/>
  <c r="F178"/>
  <c r="F177"/>
  <c r="J176"/>
  <c r="I176"/>
  <c r="H176"/>
  <c r="F176"/>
  <c r="E176"/>
  <c r="D176"/>
  <c r="C176"/>
  <c r="B176"/>
  <c r="J175"/>
  <c r="I175"/>
  <c r="H175"/>
  <c r="F175"/>
  <c r="E175"/>
  <c r="D175"/>
  <c r="C175"/>
  <c r="B175"/>
  <c r="K173"/>
  <c r="F173"/>
  <c r="K172"/>
  <c r="F172"/>
  <c r="F171" s="1"/>
  <c r="F166" s="1"/>
  <c r="C172"/>
  <c r="K171"/>
  <c r="J171"/>
  <c r="I171"/>
  <c r="I166" s="1"/>
  <c r="H171"/>
  <c r="G171"/>
  <c r="G166" s="1"/>
  <c r="E171"/>
  <c r="E166" s="1"/>
  <c r="D171"/>
  <c r="C171"/>
  <c r="C166" s="1"/>
  <c r="B171"/>
  <c r="K170"/>
  <c r="F170"/>
  <c r="K169"/>
  <c r="K167" s="1"/>
  <c r="K166" s="1"/>
  <c r="G169"/>
  <c r="F169"/>
  <c r="K168"/>
  <c r="F168"/>
  <c r="J167"/>
  <c r="I167"/>
  <c r="H167"/>
  <c r="G167"/>
  <c r="F167"/>
  <c r="E167"/>
  <c r="D167"/>
  <c r="C167"/>
  <c r="B167"/>
  <c r="J166"/>
  <c r="H166"/>
  <c r="D166"/>
  <c r="B166"/>
  <c r="K164"/>
  <c r="F164"/>
  <c r="F162" s="1"/>
  <c r="F156" s="1"/>
  <c r="J163"/>
  <c r="K163" s="1"/>
  <c r="K162" s="1"/>
  <c r="F163"/>
  <c r="I162"/>
  <c r="I156" s="1"/>
  <c r="H162"/>
  <c r="G162"/>
  <c r="G156" s="1"/>
  <c r="E162"/>
  <c r="E156" s="1"/>
  <c r="D162"/>
  <c r="C162"/>
  <c r="C156" s="1"/>
  <c r="B162"/>
  <c r="K161"/>
  <c r="F161"/>
  <c r="K160"/>
  <c r="F160"/>
  <c r="K159"/>
  <c r="K157" s="1"/>
  <c r="G159"/>
  <c r="F159"/>
  <c r="K158"/>
  <c r="F158"/>
  <c r="J157"/>
  <c r="I157"/>
  <c r="H157"/>
  <c r="G157"/>
  <c r="F157"/>
  <c r="E157"/>
  <c r="D157"/>
  <c r="C157"/>
  <c r="B157"/>
  <c r="H156"/>
  <c r="D156"/>
  <c r="B156"/>
  <c r="K154"/>
  <c r="F154"/>
  <c r="K153"/>
  <c r="F153"/>
  <c r="K152"/>
  <c r="J152"/>
  <c r="J147" s="1"/>
  <c r="I152"/>
  <c r="H152"/>
  <c r="H147" s="1"/>
  <c r="G152"/>
  <c r="F152"/>
  <c r="E152"/>
  <c r="D152"/>
  <c r="D147" s="1"/>
  <c r="C152"/>
  <c r="B152"/>
  <c r="B147" s="1"/>
  <c r="K151"/>
  <c r="F151"/>
  <c r="F148" s="1"/>
  <c r="F147" s="1"/>
  <c r="G150"/>
  <c r="K150" s="1"/>
  <c r="K148" s="1"/>
  <c r="K147" s="1"/>
  <c r="F150"/>
  <c r="K149"/>
  <c r="F149"/>
  <c r="J148"/>
  <c r="I148"/>
  <c r="H148"/>
  <c r="G148"/>
  <c r="E148"/>
  <c r="D148"/>
  <c r="C148"/>
  <c r="B148"/>
  <c r="I147"/>
  <c r="G147"/>
  <c r="E147"/>
  <c r="C147"/>
  <c r="K145"/>
  <c r="F145"/>
  <c r="K144"/>
  <c r="F144"/>
  <c r="K143"/>
  <c r="J143"/>
  <c r="I143"/>
  <c r="I138" s="1"/>
  <c r="H143"/>
  <c r="G143"/>
  <c r="F143"/>
  <c r="E143"/>
  <c r="E138" s="1"/>
  <c r="D143"/>
  <c r="C143"/>
  <c r="C138" s="1"/>
  <c r="B143"/>
  <c r="K142"/>
  <c r="F142"/>
  <c r="H141"/>
  <c r="G141"/>
  <c r="K141" s="1"/>
  <c r="F141"/>
  <c r="K140"/>
  <c r="K139" s="1"/>
  <c r="K138" s="1"/>
  <c r="H140"/>
  <c r="F140"/>
  <c r="J139"/>
  <c r="I139"/>
  <c r="H139"/>
  <c r="F139"/>
  <c r="E139"/>
  <c r="D139"/>
  <c r="C139"/>
  <c r="B139"/>
  <c r="J138"/>
  <c r="H138"/>
  <c r="F138"/>
  <c r="D138"/>
  <c r="B138"/>
  <c r="K136"/>
  <c r="F136"/>
  <c r="K135"/>
  <c r="F135"/>
  <c r="K134"/>
  <c r="J134"/>
  <c r="J129" s="1"/>
  <c r="I134"/>
  <c r="H134"/>
  <c r="H129" s="1"/>
  <c r="G134"/>
  <c r="F134"/>
  <c r="E134"/>
  <c r="D134"/>
  <c r="D129" s="1"/>
  <c r="C134"/>
  <c r="B134"/>
  <c r="B129" s="1"/>
  <c r="K133"/>
  <c r="F133"/>
  <c r="K132"/>
  <c r="F132"/>
  <c r="F130" s="1"/>
  <c r="F129" s="1"/>
  <c r="G131"/>
  <c r="K131" s="1"/>
  <c r="K130" s="1"/>
  <c r="K129" s="1"/>
  <c r="F131"/>
  <c r="J130"/>
  <c r="I130"/>
  <c r="H130"/>
  <c r="G130"/>
  <c r="E130"/>
  <c r="D130"/>
  <c r="C130"/>
  <c r="B130"/>
  <c r="I129"/>
  <c r="G129"/>
  <c r="E129"/>
  <c r="C129"/>
  <c r="K127"/>
  <c r="F127"/>
  <c r="K126"/>
  <c r="F126"/>
  <c r="K125"/>
  <c r="J125"/>
  <c r="I125"/>
  <c r="I120" s="1"/>
  <c r="H125"/>
  <c r="G125"/>
  <c r="G120" s="1"/>
  <c r="F125"/>
  <c r="E125"/>
  <c r="E120" s="1"/>
  <c r="D125"/>
  <c r="C125"/>
  <c r="C120" s="1"/>
  <c r="B125"/>
  <c r="K124"/>
  <c r="F124"/>
  <c r="K123"/>
  <c r="K121" s="1"/>
  <c r="K120" s="1"/>
  <c r="G123"/>
  <c r="F123"/>
  <c r="K122"/>
  <c r="F122"/>
  <c r="J121"/>
  <c r="I121"/>
  <c r="H121"/>
  <c r="G121"/>
  <c r="F121"/>
  <c r="E121"/>
  <c r="D121"/>
  <c r="C121"/>
  <c r="B121"/>
  <c r="J120"/>
  <c r="H120"/>
  <c r="F120"/>
  <c r="D120"/>
  <c r="B120"/>
  <c r="K118"/>
  <c r="F118"/>
  <c r="K117"/>
  <c r="F117"/>
  <c r="K116"/>
  <c r="J116"/>
  <c r="J111" s="1"/>
  <c r="I116"/>
  <c r="H116"/>
  <c r="H111" s="1"/>
  <c r="G116"/>
  <c r="F116"/>
  <c r="E116"/>
  <c r="D116"/>
  <c r="D111" s="1"/>
  <c r="C116"/>
  <c r="B116"/>
  <c r="B111" s="1"/>
  <c r="K115"/>
  <c r="F115"/>
  <c r="F112" s="1"/>
  <c r="F111" s="1"/>
  <c r="G114"/>
  <c r="K114" s="1"/>
  <c r="K112" s="1"/>
  <c r="K111" s="1"/>
  <c r="F114"/>
  <c r="K113"/>
  <c r="F113"/>
  <c r="J112"/>
  <c r="I112"/>
  <c r="H112"/>
  <c r="G112"/>
  <c r="E112"/>
  <c r="D112"/>
  <c r="C112"/>
  <c r="B112"/>
  <c r="I111"/>
  <c r="G111"/>
  <c r="E111"/>
  <c r="C111"/>
  <c r="K109"/>
  <c r="F109"/>
  <c r="K108"/>
  <c r="F108"/>
  <c r="K107"/>
  <c r="J107"/>
  <c r="I107"/>
  <c r="H107"/>
  <c r="G107"/>
  <c r="F107"/>
  <c r="E107"/>
  <c r="D107"/>
  <c r="C107"/>
  <c r="B107"/>
  <c r="K106"/>
  <c r="F106"/>
  <c r="H105"/>
  <c r="G105"/>
  <c r="K105" s="1"/>
  <c r="K103" s="1"/>
  <c r="K102" s="1"/>
  <c r="F105"/>
  <c r="K104"/>
  <c r="F104"/>
  <c r="J103"/>
  <c r="I103"/>
  <c r="H103"/>
  <c r="G103"/>
  <c r="F103"/>
  <c r="E103"/>
  <c r="D103"/>
  <c r="C103"/>
  <c r="B103"/>
  <c r="J102"/>
  <c r="I102"/>
  <c r="H102"/>
  <c r="G102"/>
  <c r="F102"/>
  <c r="E102"/>
  <c r="D102"/>
  <c r="C102"/>
  <c r="B102"/>
  <c r="K100"/>
  <c r="F100"/>
  <c r="K99"/>
  <c r="F99"/>
  <c r="K98"/>
  <c r="J98"/>
  <c r="I98"/>
  <c r="I93" s="1"/>
  <c r="H98"/>
  <c r="G98"/>
  <c r="G93" s="1"/>
  <c r="F98"/>
  <c r="E98"/>
  <c r="E93" s="1"/>
  <c r="D98"/>
  <c r="C98"/>
  <c r="C93" s="1"/>
  <c r="B98"/>
  <c r="K97"/>
  <c r="F97"/>
  <c r="K96"/>
  <c r="K94" s="1"/>
  <c r="K93" s="1"/>
  <c r="G96"/>
  <c r="F96"/>
  <c r="K95"/>
  <c r="F95"/>
  <c r="J94"/>
  <c r="I94"/>
  <c r="H94"/>
  <c r="G94"/>
  <c r="F94"/>
  <c r="E94"/>
  <c r="D94"/>
  <c r="C94"/>
  <c r="B94"/>
  <c r="J93"/>
  <c r="H93"/>
  <c r="F93"/>
  <c r="D93"/>
  <c r="B93"/>
  <c r="K91"/>
  <c r="F91"/>
  <c r="K90"/>
  <c r="F90"/>
  <c r="K89"/>
  <c r="J89"/>
  <c r="I89"/>
  <c r="H89"/>
  <c r="G89"/>
  <c r="F89"/>
  <c r="E89"/>
  <c r="D89"/>
  <c r="C89"/>
  <c r="B89"/>
  <c r="K88"/>
  <c r="F88"/>
  <c r="K87"/>
  <c r="F87"/>
  <c r="K86"/>
  <c r="F86"/>
  <c r="K85"/>
  <c r="J85"/>
  <c r="I85"/>
  <c r="H85"/>
  <c r="G85"/>
  <c r="F85"/>
  <c r="E85"/>
  <c r="D85"/>
  <c r="C85"/>
  <c r="B85"/>
  <c r="K84"/>
  <c r="J84"/>
  <c r="I84"/>
  <c r="H84"/>
  <c r="G84"/>
  <c r="F84"/>
  <c r="E84"/>
  <c r="D84"/>
  <c r="C84"/>
  <c r="B84"/>
  <c r="K82"/>
  <c r="F82"/>
  <c r="K81"/>
  <c r="F81"/>
  <c r="K80"/>
  <c r="J80"/>
  <c r="J75" s="1"/>
  <c r="I80"/>
  <c r="H80"/>
  <c r="H75" s="1"/>
  <c r="G80"/>
  <c r="F80"/>
  <c r="E80"/>
  <c r="D80"/>
  <c r="D75" s="1"/>
  <c r="C80"/>
  <c r="B80"/>
  <c r="B75" s="1"/>
  <c r="K79"/>
  <c r="F79"/>
  <c r="F76" s="1"/>
  <c r="F75" s="1"/>
  <c r="G78"/>
  <c r="K78" s="1"/>
  <c r="K76" s="1"/>
  <c r="K75" s="1"/>
  <c r="F78"/>
  <c r="K77"/>
  <c r="F77"/>
  <c r="J76"/>
  <c r="I76"/>
  <c r="H76"/>
  <c r="G76"/>
  <c r="E76"/>
  <c r="D76"/>
  <c r="C76"/>
  <c r="B76"/>
  <c r="I75"/>
  <c r="G75"/>
  <c r="E75"/>
  <c r="C75"/>
  <c r="K73"/>
  <c r="F73"/>
  <c r="K72"/>
  <c r="F72"/>
  <c r="K71"/>
  <c r="J71"/>
  <c r="I71"/>
  <c r="I66" s="1"/>
  <c r="H71"/>
  <c r="G71"/>
  <c r="F71"/>
  <c r="E71"/>
  <c r="E66" s="1"/>
  <c r="D71"/>
  <c r="C71"/>
  <c r="C66" s="1"/>
  <c r="B71"/>
  <c r="K70"/>
  <c r="F70"/>
  <c r="H69"/>
  <c r="G69"/>
  <c r="K69" s="1"/>
  <c r="F69"/>
  <c r="K68"/>
  <c r="K67" s="1"/>
  <c r="K66" s="1"/>
  <c r="G68"/>
  <c r="F68"/>
  <c r="J67"/>
  <c r="I67"/>
  <c r="H67"/>
  <c r="F67"/>
  <c r="E67"/>
  <c r="D67"/>
  <c r="C67"/>
  <c r="B67"/>
  <c r="J66"/>
  <c r="H66"/>
  <c r="F66"/>
  <c r="D66"/>
  <c r="B66"/>
  <c r="K64"/>
  <c r="F64"/>
  <c r="K63"/>
  <c r="F63"/>
  <c r="K62"/>
  <c r="J62"/>
  <c r="J57" s="1"/>
  <c r="I62"/>
  <c r="H62"/>
  <c r="H57" s="1"/>
  <c r="G62"/>
  <c r="F62"/>
  <c r="E62"/>
  <c r="D62"/>
  <c r="D57" s="1"/>
  <c r="C62"/>
  <c r="B62"/>
  <c r="B57" s="1"/>
  <c r="K61"/>
  <c r="F61"/>
  <c r="F58" s="1"/>
  <c r="F57" s="1"/>
  <c r="G60"/>
  <c r="K60" s="1"/>
  <c r="K58" s="1"/>
  <c r="K57" s="1"/>
  <c r="F60"/>
  <c r="K59"/>
  <c r="F59"/>
  <c r="J58"/>
  <c r="I58"/>
  <c r="H58"/>
  <c r="G58"/>
  <c r="E58"/>
  <c r="D58"/>
  <c r="C58"/>
  <c r="B58"/>
  <c r="I57"/>
  <c r="G57"/>
  <c r="E57"/>
  <c r="C57"/>
  <c r="K55"/>
  <c r="F55"/>
  <c r="K54"/>
  <c r="F54"/>
  <c r="K53"/>
  <c r="J53"/>
  <c r="I53"/>
  <c r="H53"/>
  <c r="G53"/>
  <c r="F53"/>
  <c r="E53"/>
  <c r="D53"/>
  <c r="C53"/>
  <c r="B53"/>
  <c r="K52"/>
  <c r="F52"/>
  <c r="K51"/>
  <c r="G51"/>
  <c r="F51"/>
  <c r="F49" s="1"/>
  <c r="F48" s="1"/>
  <c r="G50"/>
  <c r="K50" s="1"/>
  <c r="K49" s="1"/>
  <c r="K48" s="1"/>
  <c r="F50"/>
  <c r="J49"/>
  <c r="I49"/>
  <c r="H49"/>
  <c r="G49"/>
  <c r="E49"/>
  <c r="D49"/>
  <c r="C49"/>
  <c r="B49"/>
  <c r="J48"/>
  <c r="I48"/>
  <c r="H48"/>
  <c r="G48"/>
  <c r="E48"/>
  <c r="D48"/>
  <c r="C48"/>
  <c r="B48"/>
  <c r="K46"/>
  <c r="F46"/>
  <c r="K45"/>
  <c r="K44" s="1"/>
  <c r="K39" s="1"/>
  <c r="C45"/>
  <c r="F45" s="1"/>
  <c r="F44" s="1"/>
  <c r="F39" s="1"/>
  <c r="J44"/>
  <c r="I44"/>
  <c r="H44"/>
  <c r="G44"/>
  <c r="E44"/>
  <c r="D44"/>
  <c r="B44"/>
  <c r="K43"/>
  <c r="F43"/>
  <c r="K42"/>
  <c r="F42"/>
  <c r="K41"/>
  <c r="F41"/>
  <c r="K40"/>
  <c r="J40"/>
  <c r="I40"/>
  <c r="H40"/>
  <c r="G40"/>
  <c r="F40"/>
  <c r="E40"/>
  <c r="D40"/>
  <c r="C40"/>
  <c r="B40"/>
  <c r="J39"/>
  <c r="I39"/>
  <c r="H39"/>
  <c r="G39"/>
  <c r="E39"/>
  <c r="D39"/>
  <c r="B39"/>
  <c r="K37"/>
  <c r="F37"/>
  <c r="K36"/>
  <c r="F36"/>
  <c r="K35"/>
  <c r="J35"/>
  <c r="I35"/>
  <c r="H35"/>
  <c r="G35"/>
  <c r="F35"/>
  <c r="E35"/>
  <c r="D35"/>
  <c r="C35"/>
  <c r="B35"/>
  <c r="K34"/>
  <c r="F34"/>
  <c r="G33"/>
  <c r="K33" s="1"/>
  <c r="F33"/>
  <c r="K32"/>
  <c r="K31" s="1"/>
  <c r="K30" s="1"/>
  <c r="G32"/>
  <c r="F32"/>
  <c r="J31"/>
  <c r="I31"/>
  <c r="H31"/>
  <c r="F31"/>
  <c r="E31"/>
  <c r="D31"/>
  <c r="C31"/>
  <c r="B31"/>
  <c r="J30"/>
  <c r="I30"/>
  <c r="H30"/>
  <c r="F30"/>
  <c r="E30"/>
  <c r="D30"/>
  <c r="C30"/>
  <c r="B30"/>
  <c r="J26"/>
  <c r="K28"/>
  <c r="F28"/>
  <c r="K27"/>
  <c r="H26"/>
  <c r="F27"/>
  <c r="F26" s="1"/>
  <c r="E27"/>
  <c r="I26"/>
  <c r="G26"/>
  <c r="E26"/>
  <c r="D26"/>
  <c r="C26"/>
  <c r="B26"/>
  <c r="K25"/>
  <c r="F25"/>
  <c r="K24"/>
  <c r="F24"/>
  <c r="K23"/>
  <c r="H21"/>
  <c r="H20" s="1"/>
  <c r="F23"/>
  <c r="F21" s="1"/>
  <c r="F20" s="1"/>
  <c r="J21"/>
  <c r="J20" s="1"/>
  <c r="K22"/>
  <c r="K21" s="1"/>
  <c r="F22"/>
  <c r="I21"/>
  <c r="G21"/>
  <c r="E21"/>
  <c r="D21"/>
  <c r="C21"/>
  <c r="B21"/>
  <c r="I20"/>
  <c r="G20"/>
  <c r="E20"/>
  <c r="D20"/>
  <c r="C20"/>
  <c r="B20"/>
  <c r="K18" i="17"/>
  <c r="F18"/>
  <c r="K17"/>
  <c r="K16" s="1"/>
  <c r="F17"/>
  <c r="F16" s="1"/>
  <c r="E16"/>
  <c r="D16"/>
  <c r="C16"/>
  <c r="B16"/>
  <c r="K15"/>
  <c r="F15"/>
  <c r="K14"/>
  <c r="F14"/>
  <c r="K13"/>
  <c r="E13"/>
  <c r="F13" s="1"/>
  <c r="F11" s="1"/>
  <c r="F10" s="1"/>
  <c r="K12"/>
  <c r="F12"/>
  <c r="D11"/>
  <c r="D10" s="1"/>
  <c r="C11"/>
  <c r="B11"/>
  <c r="B10" s="1"/>
  <c r="C10"/>
  <c r="K107" i="16"/>
  <c r="F107"/>
  <c r="K106"/>
  <c r="F106"/>
  <c r="K105"/>
  <c r="J105"/>
  <c r="J100" s="1"/>
  <c r="I105"/>
  <c r="H105"/>
  <c r="H100" s="1"/>
  <c r="G105"/>
  <c r="F105"/>
  <c r="E105"/>
  <c r="D105"/>
  <c r="D100" s="1"/>
  <c r="C105"/>
  <c r="B105"/>
  <c r="B100" s="1"/>
  <c r="K104"/>
  <c r="F104"/>
  <c r="K103"/>
  <c r="F103"/>
  <c r="F101" s="1"/>
  <c r="F100" s="1"/>
  <c r="E103"/>
  <c r="K102"/>
  <c r="F102"/>
  <c r="K101"/>
  <c r="J101"/>
  <c r="I101"/>
  <c r="H101"/>
  <c r="G101"/>
  <c r="E101"/>
  <c r="D101"/>
  <c r="C101"/>
  <c r="B101"/>
  <c r="K100"/>
  <c r="I100"/>
  <c r="G100"/>
  <c r="E100"/>
  <c r="C100"/>
  <c r="K98"/>
  <c r="F98"/>
  <c r="K97"/>
  <c r="F97"/>
  <c r="K96"/>
  <c r="J96"/>
  <c r="I96"/>
  <c r="H96"/>
  <c r="G96"/>
  <c r="F96"/>
  <c r="E96"/>
  <c r="D96"/>
  <c r="C96"/>
  <c r="B96"/>
  <c r="K95"/>
  <c r="G95"/>
  <c r="F95"/>
  <c r="K94"/>
  <c r="F94"/>
  <c r="F92" s="1"/>
  <c r="F91" s="1"/>
  <c r="G93"/>
  <c r="K93" s="1"/>
  <c r="K92" s="1"/>
  <c r="K91" s="1"/>
  <c r="F93"/>
  <c r="J92"/>
  <c r="I92"/>
  <c r="H92"/>
  <c r="G92"/>
  <c r="E92"/>
  <c r="D92"/>
  <c r="C92"/>
  <c r="B92"/>
  <c r="J91"/>
  <c r="I91"/>
  <c r="H91"/>
  <c r="G91"/>
  <c r="E91"/>
  <c r="D91"/>
  <c r="C91"/>
  <c r="B91"/>
  <c r="K89"/>
  <c r="F89"/>
  <c r="K88"/>
  <c r="F88"/>
  <c r="K87"/>
  <c r="J87"/>
  <c r="I87"/>
  <c r="I82" s="1"/>
  <c r="H87"/>
  <c r="G87"/>
  <c r="G82" s="1"/>
  <c r="F87"/>
  <c r="E87"/>
  <c r="E82" s="1"/>
  <c r="D87"/>
  <c r="C87"/>
  <c r="C82" s="1"/>
  <c r="B87"/>
  <c r="K86"/>
  <c r="F86"/>
  <c r="K85"/>
  <c r="G85"/>
  <c r="F85"/>
  <c r="H84"/>
  <c r="G84"/>
  <c r="K84" s="1"/>
  <c r="K83" s="1"/>
  <c r="K82" s="1"/>
  <c r="F84"/>
  <c r="J83"/>
  <c r="I83"/>
  <c r="H83"/>
  <c r="G83"/>
  <c r="F83"/>
  <c r="E83"/>
  <c r="D83"/>
  <c r="C83"/>
  <c r="B83"/>
  <c r="J82"/>
  <c r="H82"/>
  <c r="F82"/>
  <c r="D82"/>
  <c r="B82"/>
  <c r="K80"/>
  <c r="F80"/>
  <c r="K79"/>
  <c r="F79"/>
  <c r="K78"/>
  <c r="J78"/>
  <c r="I78"/>
  <c r="H78"/>
  <c r="G78"/>
  <c r="F78"/>
  <c r="E78"/>
  <c r="D78"/>
  <c r="C78"/>
  <c r="B78"/>
  <c r="K77"/>
  <c r="F77"/>
  <c r="K76"/>
  <c r="F76"/>
  <c r="K75"/>
  <c r="F75"/>
  <c r="K74"/>
  <c r="J74"/>
  <c r="I74"/>
  <c r="H74"/>
  <c r="G74"/>
  <c r="F74"/>
  <c r="E74"/>
  <c r="D74"/>
  <c r="C74"/>
  <c r="B74"/>
  <c r="K73"/>
  <c r="J73"/>
  <c r="I73"/>
  <c r="H73"/>
  <c r="G73"/>
  <c r="F73"/>
  <c r="E73"/>
  <c r="D73"/>
  <c r="C73"/>
  <c r="B73"/>
  <c r="K71"/>
  <c r="F71"/>
  <c r="K70"/>
  <c r="F70"/>
  <c r="K69"/>
  <c r="J69"/>
  <c r="I69"/>
  <c r="H69"/>
  <c r="G69"/>
  <c r="F69"/>
  <c r="E69"/>
  <c r="D69"/>
  <c r="C69"/>
  <c r="B69"/>
  <c r="G68"/>
  <c r="K68" s="1"/>
  <c r="F68"/>
  <c r="K67"/>
  <c r="K65" s="1"/>
  <c r="K64" s="1"/>
  <c r="G67"/>
  <c r="F67"/>
  <c r="K66"/>
  <c r="F66"/>
  <c r="J65"/>
  <c r="I65"/>
  <c r="H65"/>
  <c r="F65"/>
  <c r="E65"/>
  <c r="D65"/>
  <c r="C65"/>
  <c r="B65"/>
  <c r="J64"/>
  <c r="I64"/>
  <c r="H64"/>
  <c r="F64"/>
  <c r="E64"/>
  <c r="D64"/>
  <c r="C64"/>
  <c r="B64"/>
  <c r="K62"/>
  <c r="F62"/>
  <c r="K61"/>
  <c r="F61"/>
  <c r="K60"/>
  <c r="J60"/>
  <c r="I60"/>
  <c r="H60"/>
  <c r="G60"/>
  <c r="F60"/>
  <c r="E60"/>
  <c r="D60"/>
  <c r="C60"/>
  <c r="B60"/>
  <c r="K59"/>
  <c r="F59"/>
  <c r="G58"/>
  <c r="K58" s="1"/>
  <c r="F58"/>
  <c r="K57"/>
  <c r="K56" s="1"/>
  <c r="K55" s="1"/>
  <c r="G57"/>
  <c r="F57"/>
  <c r="J56"/>
  <c r="I56"/>
  <c r="H56"/>
  <c r="F56"/>
  <c r="E56"/>
  <c r="D56"/>
  <c r="C56"/>
  <c r="B56"/>
  <c r="J55"/>
  <c r="I55"/>
  <c r="H55"/>
  <c r="F55"/>
  <c r="E55"/>
  <c r="D55"/>
  <c r="C55"/>
  <c r="B55"/>
  <c r="K53"/>
  <c r="F53"/>
  <c r="K52"/>
  <c r="F52"/>
  <c r="K51"/>
  <c r="J51"/>
  <c r="I51"/>
  <c r="H51"/>
  <c r="G51"/>
  <c r="F51"/>
  <c r="E51"/>
  <c r="D51"/>
  <c r="C51"/>
  <c r="B51"/>
  <c r="G50"/>
  <c r="K50" s="1"/>
  <c r="F50"/>
  <c r="H49"/>
  <c r="G49"/>
  <c r="K49" s="1"/>
  <c r="F49"/>
  <c r="K48"/>
  <c r="K47" s="1"/>
  <c r="K46" s="1"/>
  <c r="H48"/>
  <c r="F48"/>
  <c r="J47"/>
  <c r="I47"/>
  <c r="H47"/>
  <c r="F47"/>
  <c r="E47"/>
  <c r="D47"/>
  <c r="C47"/>
  <c r="B47"/>
  <c r="J46"/>
  <c r="I46"/>
  <c r="H46"/>
  <c r="F46"/>
  <c r="E46"/>
  <c r="D46"/>
  <c r="C46"/>
  <c r="B46"/>
  <c r="K44"/>
  <c r="F44"/>
  <c r="K43"/>
  <c r="F43"/>
  <c r="K42"/>
  <c r="J42"/>
  <c r="I42"/>
  <c r="H42"/>
  <c r="G42"/>
  <c r="F42"/>
  <c r="E42"/>
  <c r="D42"/>
  <c r="C42"/>
  <c r="B42"/>
  <c r="K41"/>
  <c r="F41"/>
  <c r="K40"/>
  <c r="F40"/>
  <c r="K39"/>
  <c r="F39"/>
  <c r="K38"/>
  <c r="J38"/>
  <c r="I38"/>
  <c r="H38"/>
  <c r="G38"/>
  <c r="F38"/>
  <c r="E38"/>
  <c r="D38"/>
  <c r="C38"/>
  <c r="B38"/>
  <c r="K37"/>
  <c r="J37"/>
  <c r="I37"/>
  <c r="H37"/>
  <c r="G37"/>
  <c r="F37"/>
  <c r="E37"/>
  <c r="D37"/>
  <c r="C37"/>
  <c r="B37"/>
  <c r="K35"/>
  <c r="F35"/>
  <c r="K34"/>
  <c r="F34"/>
  <c r="K33"/>
  <c r="J33"/>
  <c r="I33"/>
  <c r="H33"/>
  <c r="G33"/>
  <c r="F33"/>
  <c r="E33"/>
  <c r="D33"/>
  <c r="C33"/>
  <c r="B33"/>
  <c r="K32"/>
  <c r="F32"/>
  <c r="K31"/>
  <c r="F31"/>
  <c r="K30"/>
  <c r="F30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K26"/>
  <c r="F26"/>
  <c r="K25"/>
  <c r="F25"/>
  <c r="F24" s="1"/>
  <c r="F19" s="1"/>
  <c r="E25"/>
  <c r="K24"/>
  <c r="J24"/>
  <c r="I24"/>
  <c r="I19" s="1"/>
  <c r="H24"/>
  <c r="G24"/>
  <c r="G19" s="1"/>
  <c r="E24"/>
  <c r="E19" s="1"/>
  <c r="D24"/>
  <c r="C24"/>
  <c r="C19" s="1"/>
  <c r="B24"/>
  <c r="K23"/>
  <c r="F23"/>
  <c r="K22"/>
  <c r="F22"/>
  <c r="K21"/>
  <c r="K20" s="1"/>
  <c r="K19" s="1"/>
  <c r="H21"/>
  <c r="F21"/>
  <c r="J20"/>
  <c r="I20"/>
  <c r="H20"/>
  <c r="G20"/>
  <c r="F20"/>
  <c r="E20"/>
  <c r="D20"/>
  <c r="C20"/>
  <c r="B20"/>
  <c r="J19"/>
  <c r="H19"/>
  <c r="D19"/>
  <c r="B19"/>
  <c r="H101" i="15"/>
  <c r="K101" s="1"/>
  <c r="F101"/>
  <c r="K100"/>
  <c r="K99" s="1"/>
  <c r="H100"/>
  <c r="F100"/>
  <c r="F99" s="1"/>
  <c r="J99"/>
  <c r="G99"/>
  <c r="E99"/>
  <c r="D99"/>
  <c r="C99"/>
  <c r="B99"/>
  <c r="K98"/>
  <c r="F98"/>
  <c r="K97"/>
  <c r="F97"/>
  <c r="K96"/>
  <c r="K94" s="1"/>
  <c r="K93" s="1"/>
  <c r="G96"/>
  <c r="F96"/>
  <c r="K95"/>
  <c r="F95"/>
  <c r="F94" s="1"/>
  <c r="F93" s="1"/>
  <c r="J94"/>
  <c r="J93" s="1"/>
  <c r="H94"/>
  <c r="G94"/>
  <c r="G93" s="1"/>
  <c r="E94"/>
  <c r="E93" s="1"/>
  <c r="D94"/>
  <c r="C94"/>
  <c r="C93" s="1"/>
  <c r="B94"/>
  <c r="D93"/>
  <c r="B93"/>
  <c r="K91"/>
  <c r="F91"/>
  <c r="K90"/>
  <c r="E90"/>
  <c r="C90"/>
  <c r="F90" s="1"/>
  <c r="F89" s="1"/>
  <c r="F84" s="1"/>
  <c r="K89"/>
  <c r="J89"/>
  <c r="I89"/>
  <c r="H89"/>
  <c r="G89"/>
  <c r="E89"/>
  <c r="D89"/>
  <c r="B89"/>
  <c r="G88"/>
  <c r="K88" s="1"/>
  <c r="F88"/>
  <c r="K87"/>
  <c r="K85" s="1"/>
  <c r="K84" s="1"/>
  <c r="G87"/>
  <c r="F87"/>
  <c r="K86"/>
  <c r="F86"/>
  <c r="J85"/>
  <c r="I85"/>
  <c r="H85"/>
  <c r="F85"/>
  <c r="E85"/>
  <c r="D85"/>
  <c r="C85"/>
  <c r="B85"/>
  <c r="J84"/>
  <c r="I84"/>
  <c r="H84"/>
  <c r="E84"/>
  <c r="D84"/>
  <c r="B84"/>
  <c r="K82"/>
  <c r="F82"/>
  <c r="K81"/>
  <c r="F81"/>
  <c r="K80"/>
  <c r="J80"/>
  <c r="I80"/>
  <c r="H80"/>
  <c r="G80"/>
  <c r="F80"/>
  <c r="E80"/>
  <c r="D80"/>
  <c r="C80"/>
  <c r="B80"/>
  <c r="K79"/>
  <c r="F79"/>
  <c r="K78"/>
  <c r="F78"/>
  <c r="K77"/>
  <c r="F77"/>
  <c r="K76"/>
  <c r="J76"/>
  <c r="I76"/>
  <c r="H76"/>
  <c r="G76"/>
  <c r="F76"/>
  <c r="E76"/>
  <c r="D76"/>
  <c r="C76"/>
  <c r="B76"/>
  <c r="K75"/>
  <c r="J75"/>
  <c r="I75"/>
  <c r="H75"/>
  <c r="G75"/>
  <c r="F75"/>
  <c r="E75"/>
  <c r="D75"/>
  <c r="C75"/>
  <c r="B75"/>
  <c r="K73"/>
  <c r="F73"/>
  <c r="K72"/>
  <c r="F72"/>
  <c r="F71" s="1"/>
  <c r="K71"/>
  <c r="J71"/>
  <c r="H71"/>
  <c r="G71"/>
  <c r="E71"/>
  <c r="D71"/>
  <c r="C71"/>
  <c r="B71"/>
  <c r="K70"/>
  <c r="G70"/>
  <c r="F70"/>
  <c r="K69"/>
  <c r="F69"/>
  <c r="G68"/>
  <c r="K68" s="1"/>
  <c r="K67" s="1"/>
  <c r="K66" s="1"/>
  <c r="F68"/>
  <c r="J67"/>
  <c r="H67"/>
  <c r="H66" s="1"/>
  <c r="F67"/>
  <c r="F66" s="1"/>
  <c r="E67"/>
  <c r="D67"/>
  <c r="D66" s="1"/>
  <c r="C67"/>
  <c r="B67"/>
  <c r="B66" s="1"/>
  <c r="J66"/>
  <c r="E66"/>
  <c r="C66"/>
  <c r="K64"/>
  <c r="F64"/>
  <c r="K63"/>
  <c r="F63"/>
  <c r="K62"/>
  <c r="J62"/>
  <c r="I62"/>
  <c r="H62"/>
  <c r="G62"/>
  <c r="F62"/>
  <c r="E62"/>
  <c r="D62"/>
  <c r="C62"/>
  <c r="B62"/>
  <c r="K61"/>
  <c r="F61"/>
  <c r="K60"/>
  <c r="F60"/>
  <c r="K59"/>
  <c r="F59"/>
  <c r="K58"/>
  <c r="J58"/>
  <c r="I58"/>
  <c r="H58"/>
  <c r="G58"/>
  <c r="F58"/>
  <c r="E58"/>
  <c r="D58"/>
  <c r="C58"/>
  <c r="B58"/>
  <c r="K57"/>
  <c r="J57"/>
  <c r="I57"/>
  <c r="H57"/>
  <c r="G57"/>
  <c r="F57"/>
  <c r="E57"/>
  <c r="D57"/>
  <c r="C57"/>
  <c r="B57"/>
  <c r="K55"/>
  <c r="F55"/>
  <c r="K54"/>
  <c r="F54"/>
  <c r="K53"/>
  <c r="J53"/>
  <c r="H53"/>
  <c r="G53"/>
  <c r="F53"/>
  <c r="E53"/>
  <c r="D53"/>
  <c r="C53"/>
  <c r="B53"/>
  <c r="G52"/>
  <c r="K52" s="1"/>
  <c r="F52"/>
  <c r="K51"/>
  <c r="G51"/>
  <c r="F51"/>
  <c r="B51"/>
  <c r="K50"/>
  <c r="K49" s="1"/>
  <c r="K48" s="1"/>
  <c r="G50"/>
  <c r="F50"/>
  <c r="F49" s="1"/>
  <c r="F48" s="1"/>
  <c r="J49"/>
  <c r="J48" s="1"/>
  <c r="H49"/>
  <c r="G49"/>
  <c r="G48" s="1"/>
  <c r="E49"/>
  <c r="E48" s="1"/>
  <c r="D49"/>
  <c r="C49"/>
  <c r="C48" s="1"/>
  <c r="B49"/>
  <c r="H48"/>
  <c r="D48"/>
  <c r="B48"/>
  <c r="K46"/>
  <c r="F46"/>
  <c r="J45"/>
  <c r="H45"/>
  <c r="K45" s="1"/>
  <c r="K44" s="1"/>
  <c r="F45"/>
  <c r="F44" s="1"/>
  <c r="J44"/>
  <c r="H44"/>
  <c r="G44"/>
  <c r="E44"/>
  <c r="D44"/>
  <c r="C44"/>
  <c r="B44"/>
  <c r="K43"/>
  <c r="F43"/>
  <c r="K42"/>
  <c r="K40" s="1"/>
  <c r="G42"/>
  <c r="F42"/>
  <c r="K41"/>
  <c r="F41"/>
  <c r="F40" s="1"/>
  <c r="F39" s="1"/>
  <c r="J40"/>
  <c r="J39" s="1"/>
  <c r="H40"/>
  <c r="G40"/>
  <c r="G39" s="1"/>
  <c r="E40"/>
  <c r="E39" s="1"/>
  <c r="D40"/>
  <c r="C40"/>
  <c r="C39" s="1"/>
  <c r="B40"/>
  <c r="H39"/>
  <c r="D39"/>
  <c r="B39"/>
  <c r="K37"/>
  <c r="F37"/>
  <c r="K36"/>
  <c r="F36"/>
  <c r="F35" s="1"/>
  <c r="F30" s="1"/>
  <c r="K35"/>
  <c r="J35"/>
  <c r="H35"/>
  <c r="G35"/>
  <c r="G30" s="1"/>
  <c r="E35"/>
  <c r="E30" s="1"/>
  <c r="C35"/>
  <c r="B35"/>
  <c r="K34"/>
  <c r="F34"/>
  <c r="K33"/>
  <c r="F33"/>
  <c r="K32"/>
  <c r="F32"/>
  <c r="K31"/>
  <c r="J31"/>
  <c r="I31"/>
  <c r="H31"/>
  <c r="G31"/>
  <c r="F31"/>
  <c r="E31"/>
  <c r="D31"/>
  <c r="C31"/>
  <c r="B31"/>
  <c r="K30"/>
  <c r="J30"/>
  <c r="I30"/>
  <c r="H30"/>
  <c r="D30"/>
  <c r="C30"/>
  <c r="B30"/>
  <c r="K28"/>
  <c r="F28"/>
  <c r="K27"/>
  <c r="F27"/>
  <c r="F26" s="1"/>
  <c r="K26"/>
  <c r="J26"/>
  <c r="H26"/>
  <c r="G26"/>
  <c r="E26"/>
  <c r="D26"/>
  <c r="C26"/>
  <c r="B26"/>
  <c r="K25"/>
  <c r="F25"/>
  <c r="K24"/>
  <c r="F24"/>
  <c r="K23"/>
  <c r="B23"/>
  <c r="F23" s="1"/>
  <c r="F21" s="1"/>
  <c r="F20" s="1"/>
  <c r="J22"/>
  <c r="J21" s="1"/>
  <c r="J20" s="1"/>
  <c r="H22"/>
  <c r="G22"/>
  <c r="K22" s="1"/>
  <c r="K21" s="1"/>
  <c r="K20" s="1"/>
  <c r="F22"/>
  <c r="H21"/>
  <c r="H20" s="1"/>
  <c r="E21"/>
  <c r="D21"/>
  <c r="D20" s="1"/>
  <c r="C21"/>
  <c r="B21"/>
  <c r="B20" s="1"/>
  <c r="E20"/>
  <c r="C20"/>
  <c r="K109" i="14"/>
  <c r="K108"/>
  <c r="F108"/>
  <c r="K107"/>
  <c r="J107"/>
  <c r="I107"/>
  <c r="H107"/>
  <c r="G107"/>
  <c r="F107"/>
  <c r="E107"/>
  <c r="D107"/>
  <c r="C107"/>
  <c r="B107"/>
  <c r="K106"/>
  <c r="F106"/>
  <c r="G105"/>
  <c r="K105" s="1"/>
  <c r="F105"/>
  <c r="G104"/>
  <c r="K104" s="1"/>
  <c r="K103" s="1"/>
  <c r="K102" s="1"/>
  <c r="F104"/>
  <c r="J103"/>
  <c r="I103"/>
  <c r="H103"/>
  <c r="G103"/>
  <c r="F103"/>
  <c r="E103"/>
  <c r="D103"/>
  <c r="C103"/>
  <c r="B103"/>
  <c r="J102"/>
  <c r="I102"/>
  <c r="H102"/>
  <c r="G102"/>
  <c r="F102"/>
  <c r="E102"/>
  <c r="D102"/>
  <c r="C102"/>
  <c r="B102"/>
  <c r="K100"/>
  <c r="F100"/>
  <c r="H99"/>
  <c r="K99" s="1"/>
  <c r="K98" s="1"/>
  <c r="F99"/>
  <c r="J98"/>
  <c r="I98"/>
  <c r="H98"/>
  <c r="G98"/>
  <c r="F98"/>
  <c r="E98"/>
  <c r="D98"/>
  <c r="C98"/>
  <c r="B98"/>
  <c r="K97"/>
  <c r="F97"/>
  <c r="G96"/>
  <c r="K96" s="1"/>
  <c r="F96"/>
  <c r="G95"/>
  <c r="K95" s="1"/>
  <c r="K94" s="1"/>
  <c r="F95"/>
  <c r="J94"/>
  <c r="I94"/>
  <c r="H94"/>
  <c r="G94"/>
  <c r="F94"/>
  <c r="E94"/>
  <c r="D94"/>
  <c r="C94"/>
  <c r="B94"/>
  <c r="J93"/>
  <c r="I93"/>
  <c r="H93"/>
  <c r="G93"/>
  <c r="F93"/>
  <c r="E93"/>
  <c r="D93"/>
  <c r="C93"/>
  <c r="B93"/>
  <c r="K91"/>
  <c r="F91"/>
  <c r="K90"/>
  <c r="F90"/>
  <c r="K89"/>
  <c r="J89"/>
  <c r="I89"/>
  <c r="H89"/>
  <c r="G89"/>
  <c r="F89"/>
  <c r="E89"/>
  <c r="D89"/>
  <c r="C89"/>
  <c r="B89"/>
  <c r="K88"/>
  <c r="F88"/>
  <c r="G87"/>
  <c r="K87" s="1"/>
  <c r="F87"/>
  <c r="G86"/>
  <c r="K86" s="1"/>
  <c r="K85" s="1"/>
  <c r="K84" s="1"/>
  <c r="F86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K82"/>
  <c r="F82"/>
  <c r="K81"/>
  <c r="F81"/>
  <c r="K80"/>
  <c r="J80"/>
  <c r="I80"/>
  <c r="H80"/>
  <c r="G80"/>
  <c r="F80"/>
  <c r="E80"/>
  <c r="D80"/>
  <c r="C80"/>
  <c r="B80"/>
  <c r="G79"/>
  <c r="K79" s="1"/>
  <c r="F79"/>
  <c r="G78"/>
  <c r="K78" s="1"/>
  <c r="F78"/>
  <c r="G77"/>
  <c r="K77" s="1"/>
  <c r="K76" s="1"/>
  <c r="K75" s="1"/>
  <c r="F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K73"/>
  <c r="F73"/>
  <c r="K72"/>
  <c r="F72"/>
  <c r="K71"/>
  <c r="J71"/>
  <c r="I71"/>
  <c r="H71"/>
  <c r="G71"/>
  <c r="F71"/>
  <c r="E71"/>
  <c r="D71"/>
  <c r="C71"/>
  <c r="B71"/>
  <c r="K70"/>
  <c r="F70"/>
  <c r="G69"/>
  <c r="K69" s="1"/>
  <c r="F69"/>
  <c r="G68"/>
  <c r="K68" s="1"/>
  <c r="K67" s="1"/>
  <c r="K66" s="1"/>
  <c r="F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K64"/>
  <c r="F64"/>
  <c r="K63"/>
  <c r="C63"/>
  <c r="F63" s="1"/>
  <c r="F62" s="1"/>
  <c r="F56" s="1"/>
  <c r="K62"/>
  <c r="J62"/>
  <c r="I62"/>
  <c r="H62"/>
  <c r="G62"/>
  <c r="E62"/>
  <c r="D62"/>
  <c r="C62"/>
  <c r="B62"/>
  <c r="K61"/>
  <c r="F61"/>
  <c r="K60"/>
  <c r="F60"/>
  <c r="K59"/>
  <c r="F59"/>
  <c r="H58"/>
  <c r="G58"/>
  <c r="K58" s="1"/>
  <c r="K57" s="1"/>
  <c r="K56" s="1"/>
  <c r="F58"/>
  <c r="J57"/>
  <c r="I57"/>
  <c r="H57"/>
  <c r="G57"/>
  <c r="F57"/>
  <c r="E57"/>
  <c r="D57"/>
  <c r="C57"/>
  <c r="B57"/>
  <c r="J56"/>
  <c r="I56"/>
  <c r="H56"/>
  <c r="G56"/>
  <c r="E56"/>
  <c r="D56"/>
  <c r="C56"/>
  <c r="B56"/>
  <c r="K54"/>
  <c r="F54"/>
  <c r="K53"/>
  <c r="F53"/>
  <c r="K52"/>
  <c r="J52"/>
  <c r="I52"/>
  <c r="H52"/>
  <c r="G52"/>
  <c r="F52"/>
  <c r="E52"/>
  <c r="D52"/>
  <c r="C52"/>
  <c r="B52"/>
  <c r="K51"/>
  <c r="F51"/>
  <c r="K50"/>
  <c r="F50"/>
  <c r="H49"/>
  <c r="G49"/>
  <c r="K49" s="1"/>
  <c r="K48" s="1"/>
  <c r="K47" s="1"/>
  <c r="F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K45"/>
  <c r="F45"/>
  <c r="K44"/>
  <c r="F44"/>
  <c r="K43"/>
  <c r="J43"/>
  <c r="I43"/>
  <c r="H43"/>
  <c r="G43"/>
  <c r="F43"/>
  <c r="E43"/>
  <c r="D43"/>
  <c r="C43"/>
  <c r="B43"/>
  <c r="K42"/>
  <c r="F42"/>
  <c r="G41"/>
  <c r="K41" s="1"/>
  <c r="K39" s="1"/>
  <c r="K38" s="1"/>
  <c r="F41"/>
  <c r="K40"/>
  <c r="F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K36"/>
  <c r="F36"/>
  <c r="J35"/>
  <c r="H35"/>
  <c r="K35" s="1"/>
  <c r="K34" s="1"/>
  <c r="K29" s="1"/>
  <c r="F35"/>
  <c r="J34"/>
  <c r="I34"/>
  <c r="H34"/>
  <c r="G34"/>
  <c r="F34"/>
  <c r="E34"/>
  <c r="D34"/>
  <c r="C34"/>
  <c r="B34"/>
  <c r="K33"/>
  <c r="F33"/>
  <c r="K32"/>
  <c r="G32"/>
  <c r="F32"/>
  <c r="K31"/>
  <c r="F31"/>
  <c r="K30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K27"/>
  <c r="F27"/>
  <c r="J26"/>
  <c r="H26"/>
  <c r="K26" s="1"/>
  <c r="K25" s="1"/>
  <c r="F26"/>
  <c r="J25"/>
  <c r="I25"/>
  <c r="H25"/>
  <c r="G25"/>
  <c r="F25"/>
  <c r="E25"/>
  <c r="D25"/>
  <c r="C25"/>
  <c r="B25"/>
  <c r="K24"/>
  <c r="F24"/>
  <c r="G23"/>
  <c r="K23" s="1"/>
  <c r="F23"/>
  <c r="H22"/>
  <c r="G22"/>
  <c r="K22" s="1"/>
  <c r="K21" s="1"/>
  <c r="K20" s="1"/>
  <c r="F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K82" i="13"/>
  <c r="F82"/>
  <c r="K81"/>
  <c r="F81"/>
  <c r="K80"/>
  <c r="J80"/>
  <c r="I80"/>
  <c r="H80"/>
  <c r="G80"/>
  <c r="F80"/>
  <c r="E80"/>
  <c r="D80"/>
  <c r="C80"/>
  <c r="B80"/>
  <c r="K79"/>
  <c r="F79"/>
  <c r="K78"/>
  <c r="F78"/>
  <c r="K77"/>
  <c r="F77"/>
  <c r="K76"/>
  <c r="J76"/>
  <c r="I76"/>
  <c r="H76"/>
  <c r="G76"/>
  <c r="F76"/>
  <c r="E76"/>
  <c r="D76"/>
  <c r="C76"/>
  <c r="B76"/>
  <c r="K75"/>
  <c r="J75"/>
  <c r="I75"/>
  <c r="H75"/>
  <c r="G75"/>
  <c r="F75"/>
  <c r="E75"/>
  <c r="D75"/>
  <c r="C75"/>
  <c r="B75"/>
  <c r="K73"/>
  <c r="F73"/>
  <c r="K72"/>
  <c r="F72"/>
  <c r="K71"/>
  <c r="J71"/>
  <c r="I71"/>
  <c r="H71"/>
  <c r="G71"/>
  <c r="F71"/>
  <c r="E71"/>
  <c r="D71"/>
  <c r="C71"/>
  <c r="B71"/>
  <c r="K70"/>
  <c r="F70"/>
  <c r="H69"/>
  <c r="K69" s="1"/>
  <c r="F69"/>
  <c r="K68"/>
  <c r="K67" s="1"/>
  <c r="K66" s="1"/>
  <c r="G68"/>
  <c r="F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K64"/>
  <c r="F64"/>
  <c r="K63"/>
  <c r="F63"/>
  <c r="K62"/>
  <c r="J62"/>
  <c r="I62"/>
  <c r="H62"/>
  <c r="G62"/>
  <c r="F62"/>
  <c r="E62"/>
  <c r="D62"/>
  <c r="C62"/>
  <c r="B62"/>
  <c r="G61"/>
  <c r="K61" s="1"/>
  <c r="F61"/>
  <c r="K60"/>
  <c r="G60"/>
  <c r="F60"/>
  <c r="H59"/>
  <c r="G59"/>
  <c r="K59" s="1"/>
  <c r="K58" s="1"/>
  <c r="K57" s="1"/>
  <c r="F59"/>
  <c r="J58"/>
  <c r="I58"/>
  <c r="H58"/>
  <c r="F58"/>
  <c r="E58"/>
  <c r="D58"/>
  <c r="C58"/>
  <c r="B58"/>
  <c r="J57"/>
  <c r="I57"/>
  <c r="H57"/>
  <c r="F57"/>
  <c r="E57"/>
  <c r="D57"/>
  <c r="C57"/>
  <c r="B57"/>
  <c r="K55"/>
  <c r="F55"/>
  <c r="K54"/>
  <c r="F54"/>
  <c r="K53"/>
  <c r="J53"/>
  <c r="J48" s="1"/>
  <c r="I53"/>
  <c r="H53"/>
  <c r="H48" s="1"/>
  <c r="G53"/>
  <c r="F53"/>
  <c r="E53"/>
  <c r="D53"/>
  <c r="D48" s="1"/>
  <c r="C53"/>
  <c r="B53"/>
  <c r="B48" s="1"/>
  <c r="K52"/>
  <c r="F52"/>
  <c r="F49" s="1"/>
  <c r="F48" s="1"/>
  <c r="G51"/>
  <c r="K51" s="1"/>
  <c r="K49" s="1"/>
  <c r="K48" s="1"/>
  <c r="F51"/>
  <c r="K50"/>
  <c r="F50"/>
  <c r="J49"/>
  <c r="I49"/>
  <c r="H49"/>
  <c r="G49"/>
  <c r="E49"/>
  <c r="D49"/>
  <c r="C49"/>
  <c r="B49"/>
  <c r="I48"/>
  <c r="G48"/>
  <c r="E48"/>
  <c r="C48"/>
  <c r="K46"/>
  <c r="H46"/>
  <c r="F46"/>
  <c r="H45"/>
  <c r="K45" s="1"/>
  <c r="K44" s="1"/>
  <c r="C45"/>
  <c r="F45" s="1"/>
  <c r="F44" s="1"/>
  <c r="J44"/>
  <c r="I44"/>
  <c r="H44"/>
  <c r="H39" s="1"/>
  <c r="G44"/>
  <c r="E44"/>
  <c r="D44"/>
  <c r="D39" s="1"/>
  <c r="B44"/>
  <c r="B39" s="1"/>
  <c r="G43"/>
  <c r="K43" s="1"/>
  <c r="F43"/>
  <c r="K42"/>
  <c r="G42"/>
  <c r="F42"/>
  <c r="F40" s="1"/>
  <c r="F39" s="1"/>
  <c r="J41"/>
  <c r="J40" s="1"/>
  <c r="J39" s="1"/>
  <c r="H41"/>
  <c r="G41"/>
  <c r="K41" s="1"/>
  <c r="F41"/>
  <c r="I40"/>
  <c r="H40"/>
  <c r="G40"/>
  <c r="E40"/>
  <c r="D40"/>
  <c r="C40"/>
  <c r="B40"/>
  <c r="I39"/>
  <c r="G39"/>
  <c r="E39"/>
  <c r="K37"/>
  <c r="F37"/>
  <c r="K36"/>
  <c r="K35" s="1"/>
  <c r="H36"/>
  <c r="F36"/>
  <c r="J35"/>
  <c r="I35"/>
  <c r="H35"/>
  <c r="G35"/>
  <c r="F35"/>
  <c r="E35"/>
  <c r="D35"/>
  <c r="C35"/>
  <c r="B35"/>
  <c r="K34"/>
  <c r="F34"/>
  <c r="G33"/>
  <c r="K33" s="1"/>
  <c r="F33"/>
  <c r="K32"/>
  <c r="K31" s="1"/>
  <c r="K30" s="1"/>
  <c r="G32"/>
  <c r="F32"/>
  <c r="J31"/>
  <c r="I31"/>
  <c r="H31"/>
  <c r="F31"/>
  <c r="E31"/>
  <c r="D31"/>
  <c r="C31"/>
  <c r="B31"/>
  <c r="J30"/>
  <c r="I30"/>
  <c r="H30"/>
  <c r="F30"/>
  <c r="E30"/>
  <c r="D30"/>
  <c r="C30"/>
  <c r="B30"/>
  <c r="K28"/>
  <c r="F28"/>
  <c r="F26" s="1"/>
  <c r="F20" s="1"/>
  <c r="H27"/>
  <c r="K27" s="1"/>
  <c r="K26" s="1"/>
  <c r="F27"/>
  <c r="J26"/>
  <c r="I26"/>
  <c r="G26"/>
  <c r="E26"/>
  <c r="D26"/>
  <c r="C26"/>
  <c r="B26"/>
  <c r="K25"/>
  <c r="F25"/>
  <c r="K24"/>
  <c r="F24"/>
  <c r="H23"/>
  <c r="G23"/>
  <c r="K23" s="1"/>
  <c r="K21" s="1"/>
  <c r="K20" s="1"/>
  <c r="F23"/>
  <c r="K22"/>
  <c r="F22"/>
  <c r="J21"/>
  <c r="I21"/>
  <c r="H21"/>
  <c r="G21"/>
  <c r="F21"/>
  <c r="E21"/>
  <c r="D21"/>
  <c r="C21"/>
  <c r="B21"/>
  <c r="J20"/>
  <c r="I20"/>
  <c r="G20"/>
  <c r="E20"/>
  <c r="D20"/>
  <c r="C20"/>
  <c r="B20"/>
  <c r="H53" i="11"/>
  <c r="K53" s="1"/>
  <c r="K51" s="1"/>
  <c r="F53"/>
  <c r="K52"/>
  <c r="H52"/>
  <c r="F52"/>
  <c r="F51" s="1"/>
  <c r="F46" s="1"/>
  <c r="C52"/>
  <c r="J51"/>
  <c r="I51"/>
  <c r="I46" s="1"/>
  <c r="G51"/>
  <c r="G46" s="1"/>
  <c r="E51"/>
  <c r="E46" s="1"/>
  <c r="D51"/>
  <c r="C51"/>
  <c r="C46" s="1"/>
  <c r="B51"/>
  <c r="K50"/>
  <c r="F50"/>
  <c r="K49"/>
  <c r="G49"/>
  <c r="F49"/>
  <c r="H48"/>
  <c r="G48"/>
  <c r="K48" s="1"/>
  <c r="K47" s="1"/>
  <c r="K46" s="1"/>
  <c r="F48"/>
  <c r="J47"/>
  <c r="I47"/>
  <c r="H47"/>
  <c r="G47"/>
  <c r="F47"/>
  <c r="E47"/>
  <c r="D47"/>
  <c r="C47"/>
  <c r="B47"/>
  <c r="J46"/>
  <c r="D46"/>
  <c r="B46"/>
  <c r="K44"/>
  <c r="F44"/>
  <c r="K43"/>
  <c r="F43"/>
  <c r="K42"/>
  <c r="J42"/>
  <c r="I42"/>
  <c r="H42"/>
  <c r="G42"/>
  <c r="F42"/>
  <c r="E42"/>
  <c r="D42"/>
  <c r="C42"/>
  <c r="B42"/>
  <c r="K41"/>
  <c r="F41"/>
  <c r="K40"/>
  <c r="F40"/>
  <c r="K39"/>
  <c r="F39"/>
  <c r="K38"/>
  <c r="J38"/>
  <c r="I38"/>
  <c r="H38"/>
  <c r="G38"/>
  <c r="F38"/>
  <c r="E38"/>
  <c r="D38"/>
  <c r="C38"/>
  <c r="B38"/>
  <c r="K37"/>
  <c r="J37"/>
  <c r="I37"/>
  <c r="H37"/>
  <c r="G37"/>
  <c r="F37"/>
  <c r="E37"/>
  <c r="D37"/>
  <c r="C37"/>
  <c r="B37"/>
  <c r="K35"/>
  <c r="F35"/>
  <c r="K34"/>
  <c r="F34"/>
  <c r="K33"/>
  <c r="J33"/>
  <c r="I33"/>
  <c r="H33"/>
  <c r="G33"/>
  <c r="F33"/>
  <c r="E33"/>
  <c r="D33"/>
  <c r="C33"/>
  <c r="B33"/>
  <c r="K32"/>
  <c r="F32"/>
  <c r="G31"/>
  <c r="K31" s="1"/>
  <c r="F31"/>
  <c r="K30"/>
  <c r="K29" s="1"/>
  <c r="K28" s="1"/>
  <c r="G30"/>
  <c r="F30"/>
  <c r="J29"/>
  <c r="I29"/>
  <c r="H29"/>
  <c r="F29"/>
  <c r="E29"/>
  <c r="D29"/>
  <c r="C29"/>
  <c r="B29"/>
  <c r="J28"/>
  <c r="I28"/>
  <c r="H28"/>
  <c r="F28"/>
  <c r="E28"/>
  <c r="D28"/>
  <c r="C28"/>
  <c r="B28"/>
  <c r="K26"/>
  <c r="F26"/>
  <c r="K25"/>
  <c r="F25"/>
  <c r="K24"/>
  <c r="J24"/>
  <c r="I24"/>
  <c r="H24"/>
  <c r="G24"/>
  <c r="F24"/>
  <c r="E24"/>
  <c r="D24"/>
  <c r="C24"/>
  <c r="B24"/>
  <c r="G23"/>
  <c r="K23" s="1"/>
  <c r="F23"/>
  <c r="K22"/>
  <c r="F22"/>
  <c r="K21"/>
  <c r="K20" s="1"/>
  <c r="K19" s="1"/>
  <c r="G21"/>
  <c r="F21"/>
  <c r="J20"/>
  <c r="I20"/>
  <c r="H20"/>
  <c r="F20"/>
  <c r="E20"/>
  <c r="D20"/>
  <c r="C20"/>
  <c r="B20"/>
  <c r="J19"/>
  <c r="I19"/>
  <c r="H19"/>
  <c r="F19"/>
  <c r="E19"/>
  <c r="D19"/>
  <c r="C19"/>
  <c r="B19"/>
  <c r="K116" i="10"/>
  <c r="F116"/>
  <c r="K115"/>
  <c r="F115"/>
  <c r="K114"/>
  <c r="J114"/>
  <c r="I114"/>
  <c r="H114"/>
  <c r="G114"/>
  <c r="F114"/>
  <c r="E114"/>
  <c r="D114"/>
  <c r="C114"/>
  <c r="B114"/>
  <c r="K113"/>
  <c r="F113"/>
  <c r="K112"/>
  <c r="F112"/>
  <c r="K111"/>
  <c r="F111"/>
  <c r="K110"/>
  <c r="J110"/>
  <c r="I110"/>
  <c r="H110"/>
  <c r="G110"/>
  <c r="F110"/>
  <c r="E110"/>
  <c r="D110"/>
  <c r="C110"/>
  <c r="B110"/>
  <c r="K109"/>
  <c r="J109"/>
  <c r="I109"/>
  <c r="H109"/>
  <c r="G109"/>
  <c r="F109"/>
  <c r="E109"/>
  <c r="D109"/>
  <c r="C109"/>
  <c r="B109"/>
  <c r="K107"/>
  <c r="F107"/>
  <c r="K106"/>
  <c r="F106"/>
  <c r="K105"/>
  <c r="J105"/>
  <c r="I105"/>
  <c r="H105"/>
  <c r="G105"/>
  <c r="F105"/>
  <c r="E105"/>
  <c r="D105"/>
  <c r="C105"/>
  <c r="B105"/>
  <c r="K104"/>
  <c r="F104"/>
  <c r="K103"/>
  <c r="F103"/>
  <c r="K102"/>
  <c r="F102"/>
  <c r="K101"/>
  <c r="J101"/>
  <c r="I101"/>
  <c r="H101"/>
  <c r="G101"/>
  <c r="F101"/>
  <c r="E101"/>
  <c r="D101"/>
  <c r="C101"/>
  <c r="B101"/>
  <c r="K100"/>
  <c r="J100"/>
  <c r="I100"/>
  <c r="H100"/>
  <c r="G100"/>
  <c r="F100"/>
  <c r="E100"/>
  <c r="D100"/>
  <c r="C100"/>
  <c r="B100"/>
  <c r="K98"/>
  <c r="F98"/>
  <c r="K97"/>
  <c r="F97"/>
  <c r="K96"/>
  <c r="J96"/>
  <c r="I96"/>
  <c r="H96"/>
  <c r="G96"/>
  <c r="F96"/>
  <c r="E96"/>
  <c r="D96"/>
  <c r="C96"/>
  <c r="B96"/>
  <c r="K95"/>
  <c r="F95"/>
  <c r="K94"/>
  <c r="F94"/>
  <c r="K93"/>
  <c r="F93"/>
  <c r="K92"/>
  <c r="J92"/>
  <c r="I92"/>
  <c r="H92"/>
  <c r="G92"/>
  <c r="F92"/>
  <c r="E92"/>
  <c r="D92"/>
  <c r="C92"/>
  <c r="B92"/>
  <c r="K91"/>
  <c r="J91"/>
  <c r="I91"/>
  <c r="H91"/>
  <c r="G91"/>
  <c r="F91"/>
  <c r="E91"/>
  <c r="D91"/>
  <c r="C91"/>
  <c r="B91"/>
  <c r="K89"/>
  <c r="F89"/>
  <c r="K88"/>
  <c r="F88"/>
  <c r="K87"/>
  <c r="J87"/>
  <c r="J82" s="1"/>
  <c r="I87"/>
  <c r="H87"/>
  <c r="H82" s="1"/>
  <c r="G87"/>
  <c r="F87"/>
  <c r="F82" s="1"/>
  <c r="E87"/>
  <c r="D87"/>
  <c r="D82" s="1"/>
  <c r="C87"/>
  <c r="B87"/>
  <c r="B82" s="1"/>
  <c r="G86"/>
  <c r="K86" s="1"/>
  <c r="K83" s="1"/>
  <c r="K82" s="1"/>
  <c r="F86"/>
  <c r="K85"/>
  <c r="F85"/>
  <c r="K84"/>
  <c r="F84"/>
  <c r="J83"/>
  <c r="I83"/>
  <c r="H83"/>
  <c r="G83"/>
  <c r="F83"/>
  <c r="E83"/>
  <c r="D83"/>
  <c r="C83"/>
  <c r="B83"/>
  <c r="I82"/>
  <c r="G82"/>
  <c r="E82"/>
  <c r="C82"/>
  <c r="K80"/>
  <c r="F80"/>
  <c r="K79"/>
  <c r="F79"/>
  <c r="K78"/>
  <c r="J78"/>
  <c r="H78"/>
  <c r="G78"/>
  <c r="F78"/>
  <c r="E78"/>
  <c r="D78"/>
  <c r="C78"/>
  <c r="B78"/>
  <c r="K77"/>
  <c r="F77"/>
  <c r="K76"/>
  <c r="F76"/>
  <c r="K75"/>
  <c r="F75"/>
  <c r="F74" s="1"/>
  <c r="F73" s="1"/>
  <c r="K74"/>
  <c r="J74"/>
  <c r="J73" s="1"/>
  <c r="H74"/>
  <c r="G74"/>
  <c r="G73" s="1"/>
  <c r="E74"/>
  <c r="E73" s="1"/>
  <c r="D74"/>
  <c r="C74"/>
  <c r="C73" s="1"/>
  <c r="B74"/>
  <c r="K73"/>
  <c r="H73"/>
  <c r="D73"/>
  <c r="B73"/>
  <c r="K71"/>
  <c r="F71"/>
  <c r="K70"/>
  <c r="F70"/>
  <c r="K69"/>
  <c r="J69"/>
  <c r="J64" s="1"/>
  <c r="I69"/>
  <c r="H69"/>
  <c r="H64" s="1"/>
  <c r="G69"/>
  <c r="F69"/>
  <c r="E69"/>
  <c r="D69"/>
  <c r="D64" s="1"/>
  <c r="C69"/>
  <c r="B69"/>
  <c r="B64" s="1"/>
  <c r="K68"/>
  <c r="F68"/>
  <c r="F65" s="1"/>
  <c r="F64" s="1"/>
  <c r="G67"/>
  <c r="K67" s="1"/>
  <c r="K65" s="1"/>
  <c r="K64" s="1"/>
  <c r="F67"/>
  <c r="K66"/>
  <c r="F66"/>
  <c r="J65"/>
  <c r="I65"/>
  <c r="H65"/>
  <c r="G65"/>
  <c r="E65"/>
  <c r="D65"/>
  <c r="C65"/>
  <c r="B65"/>
  <c r="I64"/>
  <c r="G64"/>
  <c r="E64"/>
  <c r="C64"/>
  <c r="K62"/>
  <c r="F62"/>
  <c r="K61"/>
  <c r="F61"/>
  <c r="K60"/>
  <c r="J60"/>
  <c r="I60"/>
  <c r="H60"/>
  <c r="G60"/>
  <c r="F60"/>
  <c r="E60"/>
  <c r="D60"/>
  <c r="C60"/>
  <c r="B60"/>
  <c r="J59"/>
  <c r="H59"/>
  <c r="K59" s="1"/>
  <c r="K56" s="1"/>
  <c r="K55" s="1"/>
  <c r="F59"/>
  <c r="K58"/>
  <c r="J58"/>
  <c r="F58"/>
  <c r="K57"/>
  <c r="F57"/>
  <c r="F56" s="1"/>
  <c r="F55" s="1"/>
  <c r="C57"/>
  <c r="J56"/>
  <c r="I56"/>
  <c r="G56"/>
  <c r="E56"/>
  <c r="D56"/>
  <c r="C56"/>
  <c r="B56"/>
  <c r="J55"/>
  <c r="I55"/>
  <c r="G55"/>
  <c r="E55"/>
  <c r="D55"/>
  <c r="C55"/>
  <c r="B55"/>
  <c r="K53"/>
  <c r="F53"/>
  <c r="K52"/>
  <c r="F52"/>
  <c r="K51"/>
  <c r="J51"/>
  <c r="I51"/>
  <c r="H51"/>
  <c r="G51"/>
  <c r="F51"/>
  <c r="E51"/>
  <c r="D51"/>
  <c r="C51"/>
  <c r="B51"/>
  <c r="K50"/>
  <c r="F50"/>
  <c r="K49"/>
  <c r="F49"/>
  <c r="K48"/>
  <c r="F48"/>
  <c r="K47"/>
  <c r="J47"/>
  <c r="I47"/>
  <c r="H47"/>
  <c r="G47"/>
  <c r="F47"/>
  <c r="E47"/>
  <c r="D47"/>
  <c r="C47"/>
  <c r="B47"/>
  <c r="K46"/>
  <c r="J46"/>
  <c r="I46"/>
  <c r="H46"/>
  <c r="G46"/>
  <c r="F46"/>
  <c r="E46"/>
  <c r="D46"/>
  <c r="C46"/>
  <c r="B46"/>
  <c r="K44"/>
  <c r="F44"/>
  <c r="K43"/>
  <c r="F43"/>
  <c r="K42"/>
  <c r="J42"/>
  <c r="I42"/>
  <c r="I37" s="1"/>
  <c r="H42"/>
  <c r="G42"/>
  <c r="G37" s="1"/>
  <c r="F42"/>
  <c r="E42"/>
  <c r="E37" s="1"/>
  <c r="D42"/>
  <c r="C42"/>
  <c r="B42"/>
  <c r="K41"/>
  <c r="F41"/>
  <c r="K40"/>
  <c r="F40"/>
  <c r="K39"/>
  <c r="K38" s="1"/>
  <c r="K37" s="1"/>
  <c r="C39"/>
  <c r="F39" s="1"/>
  <c r="F38" s="1"/>
  <c r="F37" s="1"/>
  <c r="J38"/>
  <c r="I38"/>
  <c r="H38"/>
  <c r="G38"/>
  <c r="E38"/>
  <c r="D38"/>
  <c r="B38"/>
  <c r="J37"/>
  <c r="H37"/>
  <c r="D37"/>
  <c r="B37"/>
  <c r="K35"/>
  <c r="F35"/>
  <c r="K34"/>
  <c r="F34"/>
  <c r="F33" s="1"/>
  <c r="K33"/>
  <c r="J33"/>
  <c r="H33"/>
  <c r="G33"/>
  <c r="E33"/>
  <c r="D33"/>
  <c r="C33"/>
  <c r="B33"/>
  <c r="K32"/>
  <c r="F32"/>
  <c r="K31"/>
  <c r="F31"/>
  <c r="K30"/>
  <c r="K29" s="1"/>
  <c r="K28" s="1"/>
  <c r="H30"/>
  <c r="F30"/>
  <c r="F29" s="1"/>
  <c r="J29"/>
  <c r="J28" s="1"/>
  <c r="H29"/>
  <c r="G29"/>
  <c r="G28" s="1"/>
  <c r="E29"/>
  <c r="E28" s="1"/>
  <c r="D29"/>
  <c r="C29"/>
  <c r="C28" s="1"/>
  <c r="B29"/>
  <c r="H28"/>
  <c r="D28"/>
  <c r="B28"/>
  <c r="K26"/>
  <c r="F26"/>
  <c r="K25"/>
  <c r="F25"/>
  <c r="K24"/>
  <c r="J24"/>
  <c r="I24"/>
  <c r="H24"/>
  <c r="G24"/>
  <c r="F24"/>
  <c r="E24"/>
  <c r="D24"/>
  <c r="C24"/>
  <c r="B24"/>
  <c r="K23"/>
  <c r="F23"/>
  <c r="G22"/>
  <c r="K22" s="1"/>
  <c r="F22"/>
  <c r="K21"/>
  <c r="K20" s="1"/>
  <c r="K19" s="1"/>
  <c r="G21"/>
  <c r="F21"/>
  <c r="J20"/>
  <c r="I20"/>
  <c r="H20"/>
  <c r="F20"/>
  <c r="E20"/>
  <c r="D20"/>
  <c r="C20"/>
  <c r="B20"/>
  <c r="J19"/>
  <c r="I19"/>
  <c r="H19"/>
  <c r="F19"/>
  <c r="E19"/>
  <c r="D19"/>
  <c r="C19"/>
  <c r="B19"/>
  <c r="K17" i="8"/>
  <c r="F17"/>
  <c r="K16"/>
  <c r="F16"/>
  <c r="K15"/>
  <c r="J15"/>
  <c r="J10" s="1"/>
  <c r="I15"/>
  <c r="H15"/>
  <c r="G15"/>
  <c r="F15"/>
  <c r="F10" s="1"/>
  <c r="E15"/>
  <c r="D15"/>
  <c r="D10" s="1"/>
  <c r="C15"/>
  <c r="B15"/>
  <c r="B10" s="1"/>
  <c r="H14"/>
  <c r="K14" s="1"/>
  <c r="F14"/>
  <c r="K13"/>
  <c r="F13"/>
  <c r="J12"/>
  <c r="H12"/>
  <c r="K12" s="1"/>
  <c r="K11" s="1"/>
  <c r="K10" s="1"/>
  <c r="F12"/>
  <c r="J11"/>
  <c r="I11"/>
  <c r="G11"/>
  <c r="F11"/>
  <c r="E11"/>
  <c r="D11"/>
  <c r="C11"/>
  <c r="B11"/>
  <c r="I10"/>
  <c r="G10"/>
  <c r="E10"/>
  <c r="C10"/>
  <c r="K35" i="6"/>
  <c r="F35"/>
  <c r="J34"/>
  <c r="H34"/>
  <c r="K34" s="1"/>
  <c r="K33" s="1"/>
  <c r="K28" s="1"/>
  <c r="E34"/>
  <c r="C34"/>
  <c r="F34" s="1"/>
  <c r="F33" s="1"/>
  <c r="F28" s="1"/>
  <c r="J33"/>
  <c r="I33"/>
  <c r="H33"/>
  <c r="G33"/>
  <c r="E33"/>
  <c r="D33"/>
  <c r="B33"/>
  <c r="K32"/>
  <c r="F32"/>
  <c r="K31"/>
  <c r="F31"/>
  <c r="K30"/>
  <c r="F30"/>
  <c r="K29"/>
  <c r="J29"/>
  <c r="I29"/>
  <c r="H29"/>
  <c r="G29"/>
  <c r="F29"/>
  <c r="E29"/>
  <c r="D29"/>
  <c r="C29"/>
  <c r="B29"/>
  <c r="J28"/>
  <c r="I28"/>
  <c r="H28"/>
  <c r="G28"/>
  <c r="E28"/>
  <c r="D28"/>
  <c r="B28"/>
  <c r="K26"/>
  <c r="F26"/>
  <c r="K25"/>
  <c r="F25"/>
  <c r="K24"/>
  <c r="J24"/>
  <c r="I24"/>
  <c r="H24"/>
  <c r="G24"/>
  <c r="F24"/>
  <c r="E24"/>
  <c r="D24"/>
  <c r="C24"/>
  <c r="B24"/>
  <c r="H23"/>
  <c r="G23"/>
  <c r="K23" s="1"/>
  <c r="F23"/>
  <c r="G22"/>
  <c r="K22" s="1"/>
  <c r="F22"/>
  <c r="K21"/>
  <c r="K20" s="1"/>
  <c r="K19" s="1"/>
  <c r="G21"/>
  <c r="F21"/>
  <c r="J20"/>
  <c r="I20"/>
  <c r="H20"/>
  <c r="F20"/>
  <c r="E20"/>
  <c r="D20"/>
  <c r="C20"/>
  <c r="B20"/>
  <c r="J19"/>
  <c r="I19"/>
  <c r="H19"/>
  <c r="F19"/>
  <c r="E19"/>
  <c r="D19"/>
  <c r="C19"/>
  <c r="B19"/>
  <c r="K119" i="5"/>
  <c r="F119"/>
  <c r="K118"/>
  <c r="F118"/>
  <c r="K117"/>
  <c r="J117"/>
  <c r="I117"/>
  <c r="H117"/>
  <c r="G117"/>
  <c r="F117"/>
  <c r="E117"/>
  <c r="D117"/>
  <c r="C117"/>
  <c r="B117"/>
  <c r="K116"/>
  <c r="F116"/>
  <c r="K115"/>
  <c r="F115"/>
  <c r="K114"/>
  <c r="F114"/>
  <c r="K113"/>
  <c r="J113"/>
  <c r="I113"/>
  <c r="H113"/>
  <c r="G113"/>
  <c r="F113"/>
  <c r="E113"/>
  <c r="D113"/>
  <c r="C113"/>
  <c r="B113"/>
  <c r="K112"/>
  <c r="J112"/>
  <c r="I112"/>
  <c r="H112"/>
  <c r="G112"/>
  <c r="F112"/>
  <c r="E112"/>
  <c r="D112"/>
  <c r="C112"/>
  <c r="B112"/>
  <c r="K110"/>
  <c r="F110"/>
  <c r="K109"/>
  <c r="F109"/>
  <c r="K108"/>
  <c r="J108"/>
  <c r="I108"/>
  <c r="H108"/>
  <c r="H103" s="1"/>
  <c r="G108"/>
  <c r="F108"/>
  <c r="E108"/>
  <c r="D108"/>
  <c r="D103" s="1"/>
  <c r="C108"/>
  <c r="B108"/>
  <c r="B103" s="1"/>
  <c r="K107"/>
  <c r="F107"/>
  <c r="K106"/>
  <c r="F106"/>
  <c r="F104" s="1"/>
  <c r="F103" s="1"/>
  <c r="J105"/>
  <c r="J104" s="1"/>
  <c r="J103" s="1"/>
  <c r="H105"/>
  <c r="G105"/>
  <c r="K105" s="1"/>
  <c r="K104" s="1"/>
  <c r="K103" s="1"/>
  <c r="F105"/>
  <c r="I104"/>
  <c r="H104"/>
  <c r="G104"/>
  <c r="E104"/>
  <c r="D104"/>
  <c r="C104"/>
  <c r="B104"/>
  <c r="I103"/>
  <c r="G103"/>
  <c r="E103"/>
  <c r="C103"/>
  <c r="K101"/>
  <c r="J101"/>
  <c r="F101"/>
  <c r="K100"/>
  <c r="F100"/>
  <c r="F99" s="1"/>
  <c r="F94" s="1"/>
  <c r="E100"/>
  <c r="K99"/>
  <c r="J99"/>
  <c r="I99"/>
  <c r="H99"/>
  <c r="G99"/>
  <c r="E99"/>
  <c r="D99"/>
  <c r="C99"/>
  <c r="B99"/>
  <c r="K98"/>
  <c r="F98"/>
  <c r="K97"/>
  <c r="F97"/>
  <c r="K96"/>
  <c r="F96"/>
  <c r="K95"/>
  <c r="J95"/>
  <c r="I95"/>
  <c r="H95"/>
  <c r="G95"/>
  <c r="F95"/>
  <c r="E95"/>
  <c r="D95"/>
  <c r="C95"/>
  <c r="B95"/>
  <c r="K94"/>
  <c r="J94"/>
  <c r="I94"/>
  <c r="H94"/>
  <c r="G94"/>
  <c r="E94"/>
  <c r="D94"/>
  <c r="C94"/>
  <c r="B94"/>
  <c r="K92"/>
  <c r="F92"/>
  <c r="K91"/>
  <c r="F91"/>
  <c r="K90"/>
  <c r="J90"/>
  <c r="I90"/>
  <c r="H90"/>
  <c r="G90"/>
  <c r="F90"/>
  <c r="E90"/>
  <c r="D90"/>
  <c r="C90"/>
  <c r="B90"/>
  <c r="K89"/>
  <c r="F89"/>
  <c r="K88"/>
  <c r="F88"/>
  <c r="K87"/>
  <c r="F87"/>
  <c r="K86"/>
  <c r="J86"/>
  <c r="I86"/>
  <c r="H86"/>
  <c r="G86"/>
  <c r="F86"/>
  <c r="E86"/>
  <c r="D86"/>
  <c r="C86"/>
  <c r="B86"/>
  <c r="K85"/>
  <c r="J85"/>
  <c r="I85"/>
  <c r="H85"/>
  <c r="G85"/>
  <c r="F85"/>
  <c r="E85"/>
  <c r="D85"/>
  <c r="C85"/>
  <c r="B85"/>
  <c r="K83"/>
  <c r="F83"/>
  <c r="K82"/>
  <c r="F82"/>
  <c r="K81"/>
  <c r="J81"/>
  <c r="I81"/>
  <c r="H81"/>
  <c r="G81"/>
  <c r="F81"/>
  <c r="E81"/>
  <c r="D81"/>
  <c r="C81"/>
  <c r="B81"/>
  <c r="K80"/>
  <c r="F80"/>
  <c r="K79"/>
  <c r="F79"/>
  <c r="K78"/>
  <c r="F78"/>
  <c r="K77"/>
  <c r="J77"/>
  <c r="I77"/>
  <c r="H77"/>
  <c r="G77"/>
  <c r="F77"/>
  <c r="E77"/>
  <c r="D77"/>
  <c r="C77"/>
  <c r="B77"/>
  <c r="K76"/>
  <c r="J76"/>
  <c r="I76"/>
  <c r="H76"/>
  <c r="G76"/>
  <c r="F76"/>
  <c r="E76"/>
  <c r="D76"/>
  <c r="C76"/>
  <c r="B76"/>
  <c r="K74"/>
  <c r="F74"/>
  <c r="K73"/>
  <c r="F73"/>
  <c r="K72"/>
  <c r="J72"/>
  <c r="I72"/>
  <c r="H72"/>
  <c r="G72"/>
  <c r="F72"/>
  <c r="E72"/>
  <c r="D72"/>
  <c r="C72"/>
  <c r="B72"/>
  <c r="K71"/>
  <c r="F71"/>
  <c r="K70"/>
  <c r="G70"/>
  <c r="F70"/>
  <c r="F68" s="1"/>
  <c r="F67" s="1"/>
  <c r="G69"/>
  <c r="K69" s="1"/>
  <c r="K68" s="1"/>
  <c r="K67" s="1"/>
  <c r="F69"/>
  <c r="J68"/>
  <c r="I68"/>
  <c r="H68"/>
  <c r="G68"/>
  <c r="E68"/>
  <c r="D68"/>
  <c r="C68"/>
  <c r="B68"/>
  <c r="J67"/>
  <c r="I67"/>
  <c r="H67"/>
  <c r="G67"/>
  <c r="E67"/>
  <c r="D67"/>
  <c r="C67"/>
  <c r="B67"/>
  <c r="K65"/>
  <c r="F65"/>
  <c r="K64"/>
  <c r="K63" s="1"/>
  <c r="K58" s="1"/>
  <c r="C64"/>
  <c r="F64" s="1"/>
  <c r="F63" s="1"/>
  <c r="F58" s="1"/>
  <c r="J63"/>
  <c r="I63"/>
  <c r="H63"/>
  <c r="G63"/>
  <c r="E63"/>
  <c r="D63"/>
  <c r="B63"/>
  <c r="K62"/>
  <c r="F62"/>
  <c r="K61"/>
  <c r="F61"/>
  <c r="K60"/>
  <c r="F60"/>
  <c r="K59"/>
  <c r="J59"/>
  <c r="I59"/>
  <c r="H59"/>
  <c r="G59"/>
  <c r="F59"/>
  <c r="E59"/>
  <c r="D59"/>
  <c r="C59"/>
  <c r="B59"/>
  <c r="J58"/>
  <c r="I58"/>
  <c r="H58"/>
  <c r="G58"/>
  <c r="E58"/>
  <c r="D58"/>
  <c r="B58"/>
  <c r="K56"/>
  <c r="F56"/>
  <c r="K55"/>
  <c r="F55"/>
  <c r="K54"/>
  <c r="J54"/>
  <c r="I54"/>
  <c r="H54"/>
  <c r="G54"/>
  <c r="F54"/>
  <c r="E54"/>
  <c r="D54"/>
  <c r="C54"/>
  <c r="B54"/>
  <c r="K53"/>
  <c r="F53"/>
  <c r="K52"/>
  <c r="F52"/>
  <c r="K51"/>
  <c r="F51"/>
  <c r="K50"/>
  <c r="J50"/>
  <c r="I50"/>
  <c r="H50"/>
  <c r="G50"/>
  <c r="F50"/>
  <c r="E50"/>
  <c r="D50"/>
  <c r="C50"/>
  <c r="B50"/>
  <c r="K49"/>
  <c r="J49"/>
  <c r="I49"/>
  <c r="H49"/>
  <c r="G49"/>
  <c r="F49"/>
  <c r="E49"/>
  <c r="D49"/>
  <c r="C49"/>
  <c r="B49"/>
  <c r="K47"/>
  <c r="F47"/>
  <c r="K46"/>
  <c r="E46"/>
  <c r="C46"/>
  <c r="F46" s="1"/>
  <c r="F45" s="1"/>
  <c r="K45"/>
  <c r="J45"/>
  <c r="J39" s="1"/>
  <c r="I45"/>
  <c r="H45"/>
  <c r="H39" s="1"/>
  <c r="G45"/>
  <c r="E45"/>
  <c r="D45"/>
  <c r="D39" s="1"/>
  <c r="B45"/>
  <c r="B39" s="1"/>
  <c r="K44"/>
  <c r="F44"/>
  <c r="K43"/>
  <c r="F43"/>
  <c r="F40" s="1"/>
  <c r="F39" s="1"/>
  <c r="G42"/>
  <c r="K42" s="1"/>
  <c r="F42"/>
  <c r="H41"/>
  <c r="G41"/>
  <c r="K41" s="1"/>
  <c r="K40" s="1"/>
  <c r="K39" s="1"/>
  <c r="F41"/>
  <c r="J40"/>
  <c r="I40"/>
  <c r="H40"/>
  <c r="G40"/>
  <c r="E40"/>
  <c r="D40"/>
  <c r="C40"/>
  <c r="B40"/>
  <c r="I39"/>
  <c r="G39"/>
  <c r="E39"/>
  <c r="K37"/>
  <c r="F37"/>
  <c r="K36"/>
  <c r="F36"/>
  <c r="K35"/>
  <c r="J35"/>
  <c r="I35"/>
  <c r="H35"/>
  <c r="G35"/>
  <c r="F35"/>
  <c r="E35"/>
  <c r="D35"/>
  <c r="C35"/>
  <c r="B35"/>
  <c r="K34"/>
  <c r="F34"/>
  <c r="K33"/>
  <c r="F33"/>
  <c r="K32"/>
  <c r="F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8"/>
  <c r="F28"/>
  <c r="K27"/>
  <c r="F27"/>
  <c r="K26"/>
  <c r="J26"/>
  <c r="I26"/>
  <c r="H26"/>
  <c r="G26"/>
  <c r="F26"/>
  <c r="E26"/>
  <c r="D26"/>
  <c r="C26"/>
  <c r="B26"/>
  <c r="K25"/>
  <c r="F25"/>
  <c r="K24"/>
  <c r="F24"/>
  <c r="K23"/>
  <c r="F23"/>
  <c r="K22"/>
  <c r="F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B20"/>
  <c r="K17" i="4"/>
  <c r="F17"/>
  <c r="K16"/>
  <c r="F16"/>
  <c r="K15"/>
  <c r="J15"/>
  <c r="I15"/>
  <c r="H15"/>
  <c r="G15"/>
  <c r="F15"/>
  <c r="E15"/>
  <c r="D15"/>
  <c r="C15"/>
  <c r="B15"/>
  <c r="K14"/>
  <c r="F14"/>
  <c r="G13"/>
  <c r="K13" s="1"/>
  <c r="F13"/>
  <c r="J12"/>
  <c r="H12"/>
  <c r="K12" s="1"/>
  <c r="K11" s="1"/>
  <c r="K10" s="1"/>
  <c r="G12"/>
  <c r="F12"/>
  <c r="J11"/>
  <c r="I11"/>
  <c r="H11"/>
  <c r="F11"/>
  <c r="E11"/>
  <c r="D11"/>
  <c r="C11"/>
  <c r="B11"/>
  <c r="J10"/>
  <c r="I10"/>
  <c r="H10"/>
  <c r="F10"/>
  <c r="E10"/>
  <c r="D10"/>
  <c r="C10"/>
  <c r="B10"/>
  <c r="L12"/>
  <c r="M12"/>
  <c r="O12"/>
  <c r="P12"/>
  <c r="M13"/>
  <c r="O13"/>
  <c r="L14"/>
  <c r="M14"/>
  <c r="O14"/>
  <c r="L16"/>
  <c r="M16"/>
  <c r="O16"/>
  <c r="L17"/>
  <c r="M17"/>
  <c r="O17"/>
  <c r="G31" i="12" l="1"/>
  <c r="G30" s="1"/>
  <c r="M67" i="19"/>
  <c r="M66" s="1"/>
  <c r="L71"/>
  <c r="L66" s="1"/>
  <c r="K26" i="18"/>
  <c r="K20" s="1"/>
  <c r="K156"/>
  <c r="G31"/>
  <c r="G30" s="1"/>
  <c r="C44"/>
  <c r="C39" s="1"/>
  <c r="G67"/>
  <c r="G66" s="1"/>
  <c r="G139"/>
  <c r="G138" s="1"/>
  <c r="J162"/>
  <c r="J156" s="1"/>
  <c r="G177"/>
  <c r="G194"/>
  <c r="G193" s="1"/>
  <c r="K11" i="17"/>
  <c r="K10" s="1"/>
  <c r="E11"/>
  <c r="E10" s="1"/>
  <c r="G47" i="16"/>
  <c r="G46" s="1"/>
  <c r="G56"/>
  <c r="G55" s="1"/>
  <c r="G65"/>
  <c r="G64" s="1"/>
  <c r="K39" i="15"/>
  <c r="G21"/>
  <c r="G20" s="1"/>
  <c r="G67"/>
  <c r="G66" s="1"/>
  <c r="G85"/>
  <c r="G84" s="1"/>
  <c r="C89"/>
  <c r="C84" s="1"/>
  <c r="H99"/>
  <c r="H93" s="1"/>
  <c r="K93" i="14"/>
  <c r="K40" i="13"/>
  <c r="K39" s="1"/>
  <c r="H26"/>
  <c r="H20" s="1"/>
  <c r="G31"/>
  <c r="G30" s="1"/>
  <c r="C44"/>
  <c r="C39" s="1"/>
  <c r="G58"/>
  <c r="G57" s="1"/>
  <c r="G20" i="11"/>
  <c r="G19" s="1"/>
  <c r="G29"/>
  <c r="G28" s="1"/>
  <c r="H51"/>
  <c r="H46" s="1"/>
  <c r="F28" i="10"/>
  <c r="G20"/>
  <c r="G19" s="1"/>
  <c r="C38"/>
  <c r="C37" s="1"/>
  <c r="H56"/>
  <c r="H55" s="1"/>
  <c r="H11" i="8"/>
  <c r="H10" s="1"/>
  <c r="G20" i="6"/>
  <c r="G19" s="1"/>
  <c r="C33"/>
  <c r="C28" s="1"/>
  <c r="C45" i="5"/>
  <c r="C39" s="1"/>
  <c r="C63"/>
  <c r="C58" s="1"/>
  <c r="L13" i="4"/>
  <c r="G11"/>
  <c r="G10" s="1"/>
  <c r="P17"/>
  <c r="P14"/>
  <c r="P16"/>
  <c r="P15"/>
  <c r="M15"/>
  <c r="P13"/>
  <c r="P11" s="1"/>
  <c r="P10" s="1"/>
  <c r="O11"/>
  <c r="L11"/>
  <c r="O15"/>
  <c r="L15"/>
  <c r="M11"/>
  <c r="L10"/>
  <c r="M10"/>
  <c r="K177" i="18" l="1"/>
  <c r="K176" s="1"/>
  <c r="K175" s="1"/>
  <c r="G176"/>
  <c r="G175" s="1"/>
  <c r="O10" i="4"/>
  <c r="K17" i="2" l="1"/>
  <c r="F17"/>
  <c r="F15" s="1"/>
  <c r="F10" s="1"/>
  <c r="H16"/>
  <c r="K16" s="1"/>
  <c r="K15" s="1"/>
  <c r="F16"/>
  <c r="J15"/>
  <c r="I15"/>
  <c r="I10" s="1"/>
  <c r="G15"/>
  <c r="G10" s="1"/>
  <c r="E15"/>
  <c r="E10" s="1"/>
  <c r="D15"/>
  <c r="C15"/>
  <c r="C10" s="1"/>
  <c r="B15"/>
  <c r="K14"/>
  <c r="F14"/>
  <c r="K13"/>
  <c r="K11" s="1"/>
  <c r="K10" s="1"/>
  <c r="H13"/>
  <c r="F13"/>
  <c r="K12"/>
  <c r="F12"/>
  <c r="J11"/>
  <c r="I11"/>
  <c r="H11"/>
  <c r="G11"/>
  <c r="F11"/>
  <c r="E11"/>
  <c r="D11"/>
  <c r="C11"/>
  <c r="B11"/>
  <c r="J10"/>
  <c r="D10"/>
  <c r="B10"/>
  <c r="K62" i="1"/>
  <c r="K61"/>
  <c r="F61"/>
  <c r="K60"/>
  <c r="J60"/>
  <c r="I60"/>
  <c r="H60"/>
  <c r="G60"/>
  <c r="F60"/>
  <c r="E60"/>
  <c r="D60"/>
  <c r="C60"/>
  <c r="B60"/>
  <c r="K59"/>
  <c r="F59"/>
  <c r="K58"/>
  <c r="F58"/>
  <c r="H57"/>
  <c r="G57"/>
  <c r="K57" s="1"/>
  <c r="K56" s="1"/>
  <c r="K55" s="1"/>
  <c r="F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K53"/>
  <c r="F53"/>
  <c r="K52"/>
  <c r="F52"/>
  <c r="K51"/>
  <c r="J51"/>
  <c r="I51"/>
  <c r="H51"/>
  <c r="G51"/>
  <c r="F51"/>
  <c r="E51"/>
  <c r="D51"/>
  <c r="C51"/>
  <c r="B51"/>
  <c r="K50"/>
  <c r="F50"/>
  <c r="K49"/>
  <c r="F49"/>
  <c r="K48"/>
  <c r="F48"/>
  <c r="K47"/>
  <c r="J47"/>
  <c r="I47"/>
  <c r="H47"/>
  <c r="G47"/>
  <c r="F47"/>
  <c r="E47"/>
  <c r="D47"/>
  <c r="C47"/>
  <c r="B47"/>
  <c r="K46"/>
  <c r="J46"/>
  <c r="I46"/>
  <c r="H46"/>
  <c r="G46"/>
  <c r="F46"/>
  <c r="E46"/>
  <c r="D46"/>
  <c r="C46"/>
  <c r="B46"/>
  <c r="K44"/>
  <c r="F44"/>
  <c r="K43"/>
  <c r="K42" s="1"/>
  <c r="C43"/>
  <c r="F43" s="1"/>
  <c r="F42" s="1"/>
  <c r="E42"/>
  <c r="D42"/>
  <c r="C42"/>
  <c r="B42"/>
  <c r="K41"/>
  <c r="F41"/>
  <c r="K40"/>
  <c r="F40"/>
  <c r="K39"/>
  <c r="F39"/>
  <c r="K38"/>
  <c r="K37" s="1"/>
  <c r="F38"/>
  <c r="F37" s="1"/>
  <c r="E38"/>
  <c r="D38"/>
  <c r="D37" s="1"/>
  <c r="C38"/>
  <c r="B38"/>
  <c r="B37" s="1"/>
  <c r="E37"/>
  <c r="C37"/>
  <c r="K35"/>
  <c r="F35"/>
  <c r="K34"/>
  <c r="K33" s="1"/>
  <c r="C34"/>
  <c r="F34" s="1"/>
  <c r="F33" s="1"/>
  <c r="F28" s="1"/>
  <c r="J33"/>
  <c r="I33"/>
  <c r="H33"/>
  <c r="G33"/>
  <c r="E33"/>
  <c r="D33"/>
  <c r="B33"/>
  <c r="K32"/>
  <c r="F32"/>
  <c r="G31"/>
  <c r="K31" s="1"/>
  <c r="F31"/>
  <c r="J30"/>
  <c r="H30"/>
  <c r="K30" s="1"/>
  <c r="G30"/>
  <c r="F30"/>
  <c r="J29"/>
  <c r="I29"/>
  <c r="H29"/>
  <c r="F29"/>
  <c r="E29"/>
  <c r="D29"/>
  <c r="C29"/>
  <c r="B29"/>
  <c r="J28"/>
  <c r="I28"/>
  <c r="H28"/>
  <c r="E28"/>
  <c r="D28"/>
  <c r="B28"/>
  <c r="K26"/>
  <c r="F26"/>
  <c r="H25"/>
  <c r="K25" s="1"/>
  <c r="K24" s="1"/>
  <c r="K19" s="1"/>
  <c r="C25"/>
  <c r="F25" s="1"/>
  <c r="F24" s="1"/>
  <c r="F19" s="1"/>
  <c r="J24"/>
  <c r="I24"/>
  <c r="H24"/>
  <c r="G24"/>
  <c r="E24"/>
  <c r="D24"/>
  <c r="B24"/>
  <c r="K23"/>
  <c r="F23"/>
  <c r="K22"/>
  <c r="F22"/>
  <c r="K21"/>
  <c r="F21"/>
  <c r="K20"/>
  <c r="J20"/>
  <c r="I20"/>
  <c r="H20"/>
  <c r="G20"/>
  <c r="F20"/>
  <c r="E20"/>
  <c r="D20"/>
  <c r="C20"/>
  <c r="B20"/>
  <c r="J19"/>
  <c r="I19"/>
  <c r="H19"/>
  <c r="G19"/>
  <c r="E19"/>
  <c r="D19"/>
  <c r="B19"/>
  <c r="H15" i="2" l="1"/>
  <c r="H10" s="1"/>
  <c r="K29" i="1"/>
  <c r="K28" s="1"/>
  <c r="C24"/>
  <c r="C19" s="1"/>
  <c r="G29"/>
  <c r="G28" s="1"/>
  <c r="C33"/>
  <c r="C28" s="1"/>
  <c r="O17" i="33" l="1"/>
  <c r="M17"/>
  <c r="L17"/>
  <c r="O16"/>
  <c r="O15" s="1"/>
  <c r="L16"/>
  <c r="O14"/>
  <c r="M14"/>
  <c r="L14"/>
  <c r="O13"/>
  <c r="M13"/>
  <c r="P13" s="1"/>
  <c r="L13"/>
  <c r="O12"/>
  <c r="O11" s="1"/>
  <c r="O10" s="1"/>
  <c r="M12"/>
  <c r="L12"/>
  <c r="P12" s="1"/>
  <c r="L11"/>
  <c r="O17" i="32"/>
  <c r="M17"/>
  <c r="L17"/>
  <c r="M16"/>
  <c r="M15" s="1"/>
  <c r="L16"/>
  <c r="O16"/>
  <c r="O15" s="1"/>
  <c r="L15"/>
  <c r="O14"/>
  <c r="M14"/>
  <c r="L14"/>
  <c r="O13"/>
  <c r="M13"/>
  <c r="L13"/>
  <c r="P13" s="1"/>
  <c r="L12"/>
  <c r="O12"/>
  <c r="O11" s="1"/>
  <c r="M12"/>
  <c r="L11"/>
  <c r="L10" s="1"/>
  <c r="O17" i="31"/>
  <c r="M17"/>
  <c r="L17"/>
  <c r="P17" s="1"/>
  <c r="O16"/>
  <c r="O15" s="1"/>
  <c r="M16"/>
  <c r="M15" s="1"/>
  <c r="L16"/>
  <c r="O14"/>
  <c r="M14"/>
  <c r="L14"/>
  <c r="O13"/>
  <c r="M13"/>
  <c r="L13"/>
  <c r="O12"/>
  <c r="O11" s="1"/>
  <c r="M12"/>
  <c r="L12"/>
  <c r="L11" s="1"/>
  <c r="M11"/>
  <c r="M10" s="1"/>
  <c r="O17" i="30"/>
  <c r="M17"/>
  <c r="L17"/>
  <c r="L16"/>
  <c r="O16"/>
  <c r="O15" s="1"/>
  <c r="M16"/>
  <c r="L15"/>
  <c r="O14"/>
  <c r="M14"/>
  <c r="L14"/>
  <c r="O13"/>
  <c r="M13"/>
  <c r="L13"/>
  <c r="O12"/>
  <c r="M12"/>
  <c r="L12"/>
  <c r="O11"/>
  <c r="O35" i="29"/>
  <c r="M35"/>
  <c r="L35"/>
  <c r="P35" s="1"/>
  <c r="O34"/>
  <c r="M34"/>
  <c r="L34"/>
  <c r="P34" s="1"/>
  <c r="P33" s="1"/>
  <c r="O33"/>
  <c r="M33"/>
  <c r="L33"/>
  <c r="O32"/>
  <c r="M32"/>
  <c r="L32"/>
  <c r="P32" s="1"/>
  <c r="O31"/>
  <c r="M31"/>
  <c r="L31"/>
  <c r="O30"/>
  <c r="O29" s="1"/>
  <c r="O28" s="1"/>
  <c r="M30"/>
  <c r="L30"/>
  <c r="O26"/>
  <c r="M26"/>
  <c r="L26"/>
  <c r="O25"/>
  <c r="O24" s="1"/>
  <c r="M25"/>
  <c r="L25"/>
  <c r="L24" s="1"/>
  <c r="L19" s="1"/>
  <c r="M24"/>
  <c r="O23"/>
  <c r="M23"/>
  <c r="L23"/>
  <c r="O22"/>
  <c r="M22"/>
  <c r="P22" s="1"/>
  <c r="L22"/>
  <c r="O21"/>
  <c r="O20" s="1"/>
  <c r="O19" s="1"/>
  <c r="L21"/>
  <c r="M21"/>
  <c r="L20"/>
  <c r="J17"/>
  <c r="H17"/>
  <c r="K17" s="1"/>
  <c r="G17"/>
  <c r="E17"/>
  <c r="O17" s="1"/>
  <c r="C17"/>
  <c r="B17"/>
  <c r="L17" s="1"/>
  <c r="J16"/>
  <c r="J15" s="1"/>
  <c r="H16"/>
  <c r="H15" s="1"/>
  <c r="G16"/>
  <c r="G15" s="1"/>
  <c r="E16"/>
  <c r="C16"/>
  <c r="B16"/>
  <c r="B15" s="1"/>
  <c r="E15"/>
  <c r="J14"/>
  <c r="H14"/>
  <c r="G14"/>
  <c r="E14"/>
  <c r="C14"/>
  <c r="M14" s="1"/>
  <c r="B14"/>
  <c r="J13"/>
  <c r="H13"/>
  <c r="G13"/>
  <c r="K13" s="1"/>
  <c r="E13"/>
  <c r="C13"/>
  <c r="M13" s="1"/>
  <c r="B13"/>
  <c r="J12"/>
  <c r="H12"/>
  <c r="G12"/>
  <c r="K12" s="1"/>
  <c r="E12"/>
  <c r="C12"/>
  <c r="M12" s="1"/>
  <c r="M11" s="1"/>
  <c r="B12"/>
  <c r="L12" s="1"/>
  <c r="J11"/>
  <c r="H11"/>
  <c r="G11"/>
  <c r="E11"/>
  <c r="E10" s="1"/>
  <c r="C11"/>
  <c r="B11"/>
  <c r="O62" i="28"/>
  <c r="M62"/>
  <c r="L62"/>
  <c r="M61"/>
  <c r="M60" s="1"/>
  <c r="L61"/>
  <c r="O61"/>
  <c r="O59"/>
  <c r="M59"/>
  <c r="L59"/>
  <c r="O58"/>
  <c r="M58"/>
  <c r="L58"/>
  <c r="O57"/>
  <c r="M57"/>
  <c r="M56" s="1"/>
  <c r="M55" s="1"/>
  <c r="O53"/>
  <c r="M53"/>
  <c r="L53"/>
  <c r="P53" s="1"/>
  <c r="L52"/>
  <c r="O52"/>
  <c r="M52"/>
  <c r="M51" s="1"/>
  <c r="O50"/>
  <c r="M50"/>
  <c r="O49"/>
  <c r="M49"/>
  <c r="L49"/>
  <c r="O48"/>
  <c r="M48"/>
  <c r="M47" s="1"/>
  <c r="M46" s="1"/>
  <c r="L48"/>
  <c r="O44"/>
  <c r="M44"/>
  <c r="L44"/>
  <c r="M43"/>
  <c r="M42" s="1"/>
  <c r="O43"/>
  <c r="O42" s="1"/>
  <c r="O41"/>
  <c r="M41"/>
  <c r="L41"/>
  <c r="O40"/>
  <c r="M40"/>
  <c r="L40"/>
  <c r="O39"/>
  <c r="M39"/>
  <c r="M38" s="1"/>
  <c r="M37" s="1"/>
  <c r="L39"/>
  <c r="O35"/>
  <c r="M35"/>
  <c r="L35"/>
  <c r="O34"/>
  <c r="M34"/>
  <c r="L34"/>
  <c r="L33"/>
  <c r="O32"/>
  <c r="M32"/>
  <c r="L32"/>
  <c r="O31"/>
  <c r="O29" s="1"/>
  <c r="M31"/>
  <c r="L31"/>
  <c r="O30"/>
  <c r="M30"/>
  <c r="L30"/>
  <c r="O26"/>
  <c r="M26"/>
  <c r="L26"/>
  <c r="M25"/>
  <c r="M24" s="1"/>
  <c r="L25"/>
  <c r="O25"/>
  <c r="O23"/>
  <c r="M23"/>
  <c r="L23"/>
  <c r="O22"/>
  <c r="M22"/>
  <c r="L22"/>
  <c r="O21"/>
  <c r="M21"/>
  <c r="J17"/>
  <c r="H17"/>
  <c r="G17"/>
  <c r="E17"/>
  <c r="C17"/>
  <c r="B17"/>
  <c r="G16"/>
  <c r="C16"/>
  <c r="B16"/>
  <c r="G15"/>
  <c r="C15"/>
  <c r="J14"/>
  <c r="H14"/>
  <c r="G14"/>
  <c r="E14"/>
  <c r="C14"/>
  <c r="B14"/>
  <c r="J13"/>
  <c r="H13"/>
  <c r="G13"/>
  <c r="K13" s="1"/>
  <c r="E13"/>
  <c r="C13"/>
  <c r="M13" s="1"/>
  <c r="B13"/>
  <c r="J12"/>
  <c r="J11" s="1"/>
  <c r="E12"/>
  <c r="C12"/>
  <c r="B12"/>
  <c r="C11"/>
  <c r="C10" s="1"/>
  <c r="O17" i="27"/>
  <c r="M17"/>
  <c r="L17"/>
  <c r="L15" s="1"/>
  <c r="O16"/>
  <c r="M16"/>
  <c r="L16"/>
  <c r="O15"/>
  <c r="O14"/>
  <c r="M14"/>
  <c r="L14"/>
  <c r="O13"/>
  <c r="M13"/>
  <c r="L13"/>
  <c r="O12"/>
  <c r="O11" s="1"/>
  <c r="O10" s="1"/>
  <c r="M12"/>
  <c r="L12"/>
  <c r="L11" s="1"/>
  <c r="M11"/>
  <c r="O17" i="26"/>
  <c r="M17"/>
  <c r="L17"/>
  <c r="O16"/>
  <c r="O15" s="1"/>
  <c r="M16"/>
  <c r="L16"/>
  <c r="L15"/>
  <c r="O14"/>
  <c r="M14"/>
  <c r="L14"/>
  <c r="O13"/>
  <c r="M13"/>
  <c r="L13"/>
  <c r="O12"/>
  <c r="M12"/>
  <c r="M11" s="1"/>
  <c r="L12"/>
  <c r="O11"/>
  <c r="O334" i="25"/>
  <c r="M334"/>
  <c r="L334"/>
  <c r="O333"/>
  <c r="M333"/>
  <c r="L333"/>
  <c r="O332"/>
  <c r="M332"/>
  <c r="L332"/>
  <c r="O331"/>
  <c r="M331"/>
  <c r="L331"/>
  <c r="O330"/>
  <c r="M330"/>
  <c r="L330"/>
  <c r="O329"/>
  <c r="M329"/>
  <c r="L329"/>
  <c r="O328"/>
  <c r="M328"/>
  <c r="M327" s="1"/>
  <c r="L328"/>
  <c r="O327"/>
  <c r="L327"/>
  <c r="O325"/>
  <c r="M325"/>
  <c r="L325"/>
  <c r="P325" s="1"/>
  <c r="L324"/>
  <c r="O324"/>
  <c r="O323" s="1"/>
  <c r="M324"/>
  <c r="M323" s="1"/>
  <c r="L323"/>
  <c r="O322"/>
  <c r="M322"/>
  <c r="L322"/>
  <c r="O321"/>
  <c r="M321"/>
  <c r="L321"/>
  <c r="P321" s="1"/>
  <c r="O320"/>
  <c r="M320"/>
  <c r="M319" s="1"/>
  <c r="L320"/>
  <c r="O319"/>
  <c r="L319"/>
  <c r="L318" s="1"/>
  <c r="O316"/>
  <c r="M316"/>
  <c r="L316"/>
  <c r="P316" s="1"/>
  <c r="O315"/>
  <c r="M315"/>
  <c r="L315"/>
  <c r="P315" s="1"/>
  <c r="P314" s="1"/>
  <c r="O314"/>
  <c r="M314"/>
  <c r="L314"/>
  <c r="O313"/>
  <c r="M313"/>
  <c r="L313"/>
  <c r="O312"/>
  <c r="M312"/>
  <c r="L312"/>
  <c r="O311"/>
  <c r="M311"/>
  <c r="L311"/>
  <c r="O310"/>
  <c r="M310"/>
  <c r="L310"/>
  <c r="O309"/>
  <c r="M309"/>
  <c r="L309"/>
  <c r="O307"/>
  <c r="M307"/>
  <c r="L307"/>
  <c r="O306"/>
  <c r="M306"/>
  <c r="L306"/>
  <c r="P306" s="1"/>
  <c r="O305"/>
  <c r="M305"/>
  <c r="L305"/>
  <c r="O304"/>
  <c r="M304"/>
  <c r="L304"/>
  <c r="O303"/>
  <c r="M303"/>
  <c r="L303"/>
  <c r="O302"/>
  <c r="M302"/>
  <c r="L302"/>
  <c r="O301"/>
  <c r="M301"/>
  <c r="O300"/>
  <c r="M300"/>
  <c r="O298"/>
  <c r="M298"/>
  <c r="L298"/>
  <c r="O297"/>
  <c r="M297"/>
  <c r="L297"/>
  <c r="O296"/>
  <c r="M296"/>
  <c r="L296"/>
  <c r="O295"/>
  <c r="M295"/>
  <c r="L295"/>
  <c r="O294"/>
  <c r="M294"/>
  <c r="L294"/>
  <c r="O293"/>
  <c r="M293"/>
  <c r="L293"/>
  <c r="O292"/>
  <c r="M292"/>
  <c r="L292"/>
  <c r="O291"/>
  <c r="M291"/>
  <c r="L291"/>
  <c r="O289"/>
  <c r="M289"/>
  <c r="L289"/>
  <c r="O288"/>
  <c r="M288"/>
  <c r="L288"/>
  <c r="O287"/>
  <c r="M287"/>
  <c r="L287"/>
  <c r="O286"/>
  <c r="M286"/>
  <c r="L286"/>
  <c r="O285"/>
  <c r="M285"/>
  <c r="L285"/>
  <c r="O284"/>
  <c r="M284"/>
  <c r="L284"/>
  <c r="O283"/>
  <c r="M283"/>
  <c r="L283"/>
  <c r="O282"/>
  <c r="M282"/>
  <c r="L282"/>
  <c r="O280"/>
  <c r="M280"/>
  <c r="L280"/>
  <c r="O279"/>
  <c r="M279"/>
  <c r="L279"/>
  <c r="O278"/>
  <c r="M278"/>
  <c r="L278"/>
  <c r="O277"/>
  <c r="M277"/>
  <c r="L277"/>
  <c r="P277" s="1"/>
  <c r="O276"/>
  <c r="M276"/>
  <c r="L276"/>
  <c r="P276" s="1"/>
  <c r="O275"/>
  <c r="O274" s="1"/>
  <c r="O273" s="1"/>
  <c r="M275"/>
  <c r="L275"/>
  <c r="M274"/>
  <c r="M273"/>
  <c r="O271"/>
  <c r="M271"/>
  <c r="L271"/>
  <c r="O270"/>
  <c r="O269" s="1"/>
  <c r="M270"/>
  <c r="L270"/>
  <c r="L269" s="1"/>
  <c r="M269"/>
  <c r="O268"/>
  <c r="M268"/>
  <c r="L268"/>
  <c r="O267"/>
  <c r="M267"/>
  <c r="P267" s="1"/>
  <c r="L267"/>
  <c r="O266"/>
  <c r="O265" s="1"/>
  <c r="O264" s="1"/>
  <c r="M266"/>
  <c r="L266"/>
  <c r="L265" s="1"/>
  <c r="L264" s="1"/>
  <c r="M265"/>
  <c r="M264" s="1"/>
  <c r="O262"/>
  <c r="M262"/>
  <c r="L262"/>
  <c r="O261"/>
  <c r="M261"/>
  <c r="L261"/>
  <c r="O260"/>
  <c r="M260"/>
  <c r="L260"/>
  <c r="O259"/>
  <c r="M259"/>
  <c r="L259"/>
  <c r="O258"/>
  <c r="M258"/>
  <c r="L258"/>
  <c r="O257"/>
  <c r="M257"/>
  <c r="M256" s="1"/>
  <c r="M255" s="1"/>
  <c r="L257"/>
  <c r="O256"/>
  <c r="O255" s="1"/>
  <c r="L256"/>
  <c r="L255"/>
  <c r="O253"/>
  <c r="M253"/>
  <c r="L253"/>
  <c r="O252"/>
  <c r="M252"/>
  <c r="L252"/>
  <c r="P252" s="1"/>
  <c r="O251"/>
  <c r="M251"/>
  <c r="L251"/>
  <c r="O250"/>
  <c r="M250"/>
  <c r="L250"/>
  <c r="O249"/>
  <c r="M249"/>
  <c r="L249"/>
  <c r="O248"/>
  <c r="O247" s="1"/>
  <c r="O246" s="1"/>
  <c r="M248"/>
  <c r="L248"/>
  <c r="L247" s="1"/>
  <c r="L246" s="1"/>
  <c r="M247"/>
  <c r="M246" s="1"/>
  <c r="O244"/>
  <c r="M244"/>
  <c r="L244"/>
  <c r="O243"/>
  <c r="O242" s="1"/>
  <c r="M243"/>
  <c r="L243"/>
  <c r="P243" s="1"/>
  <c r="M242"/>
  <c r="O241"/>
  <c r="M241"/>
  <c r="L241"/>
  <c r="P241" s="1"/>
  <c r="O240"/>
  <c r="L240"/>
  <c r="M240"/>
  <c r="O239"/>
  <c r="O238" s="1"/>
  <c r="O237" s="1"/>
  <c r="M239"/>
  <c r="L239"/>
  <c r="O235"/>
  <c r="M235"/>
  <c r="L235"/>
  <c r="O234"/>
  <c r="O233" s="1"/>
  <c r="L234"/>
  <c r="M234"/>
  <c r="L233"/>
  <c r="O232"/>
  <c r="M232"/>
  <c r="L232"/>
  <c r="O231"/>
  <c r="M231"/>
  <c r="L231"/>
  <c r="O230"/>
  <c r="M230"/>
  <c r="L230"/>
  <c r="O229"/>
  <c r="M229"/>
  <c r="O226"/>
  <c r="M226"/>
  <c r="L226"/>
  <c r="O225"/>
  <c r="M225"/>
  <c r="L225"/>
  <c r="P225" s="1"/>
  <c r="O224"/>
  <c r="M224"/>
  <c r="L224"/>
  <c r="O223"/>
  <c r="M223"/>
  <c r="L223"/>
  <c r="O222"/>
  <c r="M222"/>
  <c r="P222" s="1"/>
  <c r="L222"/>
  <c r="M221"/>
  <c r="L221"/>
  <c r="L220" s="1"/>
  <c r="L219" s="1"/>
  <c r="O221"/>
  <c r="O220" s="1"/>
  <c r="O219" s="1"/>
  <c r="O217"/>
  <c r="M217"/>
  <c r="L217"/>
  <c r="O216"/>
  <c r="M216"/>
  <c r="L216"/>
  <c r="O215"/>
  <c r="M215"/>
  <c r="L215"/>
  <c r="O214"/>
  <c r="M214"/>
  <c r="L214"/>
  <c r="O213"/>
  <c r="M213"/>
  <c r="L213"/>
  <c r="O212"/>
  <c r="M212"/>
  <c r="L212"/>
  <c r="O211"/>
  <c r="M211"/>
  <c r="M210" s="1"/>
  <c r="L211"/>
  <c r="O210"/>
  <c r="L210"/>
  <c r="Q210"/>
  <c r="O208"/>
  <c r="M208"/>
  <c r="L208"/>
  <c r="O207"/>
  <c r="M207"/>
  <c r="L207"/>
  <c r="P207" s="1"/>
  <c r="O206"/>
  <c r="M206"/>
  <c r="L206"/>
  <c r="O205"/>
  <c r="M205"/>
  <c r="O204"/>
  <c r="M204"/>
  <c r="L204"/>
  <c r="O203"/>
  <c r="M203"/>
  <c r="M202" s="1"/>
  <c r="M201" s="1"/>
  <c r="L203"/>
  <c r="O202"/>
  <c r="O201" s="1"/>
  <c r="O199"/>
  <c r="M199"/>
  <c r="L199"/>
  <c r="O198"/>
  <c r="M198"/>
  <c r="M197" s="1"/>
  <c r="M192" s="1"/>
  <c r="L198"/>
  <c r="O197"/>
  <c r="L197"/>
  <c r="O196"/>
  <c r="M196"/>
  <c r="L196"/>
  <c r="O195"/>
  <c r="M195"/>
  <c r="L195"/>
  <c r="O194"/>
  <c r="M194"/>
  <c r="L194"/>
  <c r="P194" s="1"/>
  <c r="O193"/>
  <c r="M193"/>
  <c r="O192"/>
  <c r="O190"/>
  <c r="M190"/>
  <c r="L190"/>
  <c r="O189"/>
  <c r="M189"/>
  <c r="L189"/>
  <c r="O188"/>
  <c r="M188"/>
  <c r="L188"/>
  <c r="O187"/>
  <c r="M187"/>
  <c r="P187" s="1"/>
  <c r="L187"/>
  <c r="O186"/>
  <c r="M186"/>
  <c r="L186"/>
  <c r="O185"/>
  <c r="M185"/>
  <c r="L185"/>
  <c r="O184"/>
  <c r="M184"/>
  <c r="O183"/>
  <c r="M183"/>
  <c r="O181"/>
  <c r="M181"/>
  <c r="L181"/>
  <c r="P181" s="1"/>
  <c r="O180"/>
  <c r="M180"/>
  <c r="L180"/>
  <c r="P180" s="1"/>
  <c r="P179" s="1"/>
  <c r="O179"/>
  <c r="M179"/>
  <c r="L179"/>
  <c r="O178"/>
  <c r="M178"/>
  <c r="L178"/>
  <c r="P178" s="1"/>
  <c r="O177"/>
  <c r="M177"/>
  <c r="L177"/>
  <c r="O176"/>
  <c r="O175" s="1"/>
  <c r="O174" s="1"/>
  <c r="M176"/>
  <c r="L176"/>
  <c r="M175"/>
  <c r="M174"/>
  <c r="O172"/>
  <c r="M172"/>
  <c r="L172"/>
  <c r="O171"/>
  <c r="M171"/>
  <c r="L171"/>
  <c r="O170"/>
  <c r="M170"/>
  <c r="L170"/>
  <c r="O169"/>
  <c r="M169"/>
  <c r="L169"/>
  <c r="O168"/>
  <c r="M168"/>
  <c r="L168"/>
  <c r="P168" s="1"/>
  <c r="O167"/>
  <c r="M167"/>
  <c r="O166"/>
  <c r="M166"/>
  <c r="O165"/>
  <c r="M165"/>
  <c r="O163"/>
  <c r="M163"/>
  <c r="L163"/>
  <c r="O162"/>
  <c r="M162"/>
  <c r="M161" s="1"/>
  <c r="L162"/>
  <c r="O161"/>
  <c r="L161"/>
  <c r="N160"/>
  <c r="O160"/>
  <c r="L160"/>
  <c r="M160"/>
  <c r="O159"/>
  <c r="M159"/>
  <c r="L159"/>
  <c r="O158"/>
  <c r="M158"/>
  <c r="M157" s="1"/>
  <c r="L158"/>
  <c r="N157"/>
  <c r="N156" s="1"/>
  <c r="O154"/>
  <c r="M154"/>
  <c r="L154"/>
  <c r="P154" s="1"/>
  <c r="O153"/>
  <c r="M153"/>
  <c r="M152" s="1"/>
  <c r="L153"/>
  <c r="O152"/>
  <c r="L152"/>
  <c r="O151"/>
  <c r="M151"/>
  <c r="L151"/>
  <c r="O150"/>
  <c r="M150"/>
  <c r="L150"/>
  <c r="O149"/>
  <c r="O148" s="1"/>
  <c r="O147" s="1"/>
  <c r="M149"/>
  <c r="M148" s="1"/>
  <c r="L149"/>
  <c r="O145"/>
  <c r="M145"/>
  <c r="L145"/>
  <c r="O144"/>
  <c r="M144"/>
  <c r="P144" s="1"/>
  <c r="L144"/>
  <c r="O143"/>
  <c r="M143"/>
  <c r="L143"/>
  <c r="O142"/>
  <c r="M142"/>
  <c r="P142" s="1"/>
  <c r="L142"/>
  <c r="O141"/>
  <c r="M141"/>
  <c r="L141"/>
  <c r="O140"/>
  <c r="M140"/>
  <c r="M139" s="1"/>
  <c r="M138" s="1"/>
  <c r="L140"/>
  <c r="O136"/>
  <c r="M136"/>
  <c r="L136"/>
  <c r="O135"/>
  <c r="M135"/>
  <c r="M134" s="1"/>
  <c r="M129" s="1"/>
  <c r="L135"/>
  <c r="O134"/>
  <c r="L134"/>
  <c r="O133"/>
  <c r="M133"/>
  <c r="L133"/>
  <c r="O132"/>
  <c r="M132"/>
  <c r="L132"/>
  <c r="O131"/>
  <c r="M131"/>
  <c r="L131"/>
  <c r="O130"/>
  <c r="M130"/>
  <c r="O129"/>
  <c r="O127"/>
  <c r="M127"/>
  <c r="P127" s="1"/>
  <c r="L127"/>
  <c r="O126"/>
  <c r="M126"/>
  <c r="L126"/>
  <c r="O125"/>
  <c r="L125"/>
  <c r="O124"/>
  <c r="M124"/>
  <c r="L124"/>
  <c r="O123"/>
  <c r="M123"/>
  <c r="L123"/>
  <c r="O122"/>
  <c r="M122"/>
  <c r="L122"/>
  <c r="O121"/>
  <c r="M121"/>
  <c r="L121"/>
  <c r="O120"/>
  <c r="L120"/>
  <c r="O118"/>
  <c r="M118"/>
  <c r="L118"/>
  <c r="O117"/>
  <c r="M117"/>
  <c r="L117"/>
  <c r="O116"/>
  <c r="M116"/>
  <c r="L116"/>
  <c r="O115"/>
  <c r="M115"/>
  <c r="L115"/>
  <c r="O114"/>
  <c r="M114"/>
  <c r="L114"/>
  <c r="L113"/>
  <c r="O113"/>
  <c r="O112" s="1"/>
  <c r="O111" s="1"/>
  <c r="M113"/>
  <c r="M112" s="1"/>
  <c r="M111" s="1"/>
  <c r="O109"/>
  <c r="M109"/>
  <c r="L109"/>
  <c r="O108"/>
  <c r="M108"/>
  <c r="P108" s="1"/>
  <c r="L108"/>
  <c r="O107"/>
  <c r="M107"/>
  <c r="L107"/>
  <c r="O106"/>
  <c r="M106"/>
  <c r="L106"/>
  <c r="O105"/>
  <c r="M105"/>
  <c r="L105"/>
  <c r="O104"/>
  <c r="M104"/>
  <c r="M103" s="1"/>
  <c r="M102" s="1"/>
  <c r="L104"/>
  <c r="O103"/>
  <c r="O102"/>
  <c r="O100"/>
  <c r="M100"/>
  <c r="L100"/>
  <c r="O99"/>
  <c r="M99"/>
  <c r="L99"/>
  <c r="O98"/>
  <c r="M98"/>
  <c r="L98"/>
  <c r="O97"/>
  <c r="M97"/>
  <c r="L97"/>
  <c r="O96"/>
  <c r="M96"/>
  <c r="L96"/>
  <c r="O95"/>
  <c r="M95"/>
  <c r="P95" s="1"/>
  <c r="L95"/>
  <c r="O94"/>
  <c r="O93" s="1"/>
  <c r="M94"/>
  <c r="L94"/>
  <c r="L93" s="1"/>
  <c r="M93"/>
  <c r="O91"/>
  <c r="M91"/>
  <c r="L91"/>
  <c r="O90"/>
  <c r="M90"/>
  <c r="M89" s="1"/>
  <c r="L90"/>
  <c r="O89"/>
  <c r="L89"/>
  <c r="O88"/>
  <c r="M88"/>
  <c r="L88"/>
  <c r="O87"/>
  <c r="M87"/>
  <c r="L87"/>
  <c r="O86"/>
  <c r="M86"/>
  <c r="M85" s="1"/>
  <c r="O85"/>
  <c r="O84"/>
  <c r="O82"/>
  <c r="M82"/>
  <c r="L82"/>
  <c r="O81"/>
  <c r="O80" s="1"/>
  <c r="M81"/>
  <c r="L81"/>
  <c r="P81" s="1"/>
  <c r="M80"/>
  <c r="O79"/>
  <c r="M79"/>
  <c r="L79"/>
  <c r="O78"/>
  <c r="M78"/>
  <c r="L78"/>
  <c r="O77"/>
  <c r="M77"/>
  <c r="M76" s="1"/>
  <c r="M75" s="1"/>
  <c r="L77"/>
  <c r="O76"/>
  <c r="O73"/>
  <c r="M73"/>
  <c r="L73"/>
  <c r="P73" s="1"/>
  <c r="O72"/>
  <c r="M72"/>
  <c r="M71" s="1"/>
  <c r="L72"/>
  <c r="O71"/>
  <c r="L71"/>
  <c r="O70"/>
  <c r="M70"/>
  <c r="L70"/>
  <c r="O69"/>
  <c r="M69"/>
  <c r="L69"/>
  <c r="P69" s="1"/>
  <c r="M68"/>
  <c r="O68"/>
  <c r="O67" s="1"/>
  <c r="O66" s="1"/>
  <c r="L68"/>
  <c r="M67"/>
  <c r="O64"/>
  <c r="M64"/>
  <c r="L64"/>
  <c r="P64" s="1"/>
  <c r="O63"/>
  <c r="M63"/>
  <c r="M62" s="1"/>
  <c r="L63"/>
  <c r="O62"/>
  <c r="L62"/>
  <c r="O61"/>
  <c r="M61"/>
  <c r="L61"/>
  <c r="O60"/>
  <c r="M60"/>
  <c r="L60"/>
  <c r="O59"/>
  <c r="M59"/>
  <c r="M58" s="1"/>
  <c r="L59"/>
  <c r="O58"/>
  <c r="O57" s="1"/>
  <c r="L58"/>
  <c r="L57" s="1"/>
  <c r="O55"/>
  <c r="M55"/>
  <c r="L55"/>
  <c r="P55" s="1"/>
  <c r="O54"/>
  <c r="M54"/>
  <c r="M53" s="1"/>
  <c r="L54"/>
  <c r="O53"/>
  <c r="L53"/>
  <c r="O52"/>
  <c r="M52"/>
  <c r="L52"/>
  <c r="O51"/>
  <c r="M51"/>
  <c r="L51"/>
  <c r="O50"/>
  <c r="M50"/>
  <c r="O49"/>
  <c r="M49"/>
  <c r="L49"/>
  <c r="O48"/>
  <c r="O47" s="1"/>
  <c r="O45"/>
  <c r="M45"/>
  <c r="L45"/>
  <c r="O44"/>
  <c r="O43" s="1"/>
  <c r="M44"/>
  <c r="L44"/>
  <c r="P44" s="1"/>
  <c r="M43"/>
  <c r="O42"/>
  <c r="M42"/>
  <c r="L42"/>
  <c r="O41"/>
  <c r="M41"/>
  <c r="L41"/>
  <c r="O40"/>
  <c r="O39" s="1"/>
  <c r="O38" s="1"/>
  <c r="M40"/>
  <c r="L40"/>
  <c r="L39" s="1"/>
  <c r="M39"/>
  <c r="M38" s="1"/>
  <c r="O36"/>
  <c r="M36"/>
  <c r="L36"/>
  <c r="O35"/>
  <c r="O34" s="1"/>
  <c r="O29" s="1"/>
  <c r="M35"/>
  <c r="L35"/>
  <c r="L34" s="1"/>
  <c r="L29" s="1"/>
  <c r="M34"/>
  <c r="O33"/>
  <c r="M33"/>
  <c r="L33"/>
  <c r="O32"/>
  <c r="M32"/>
  <c r="L32"/>
  <c r="O31"/>
  <c r="M31"/>
  <c r="L31"/>
  <c r="O30"/>
  <c r="M30"/>
  <c r="L30"/>
  <c r="M29"/>
  <c r="O27"/>
  <c r="M27"/>
  <c r="L27"/>
  <c r="O26"/>
  <c r="M26"/>
  <c r="L26"/>
  <c r="O25"/>
  <c r="M25"/>
  <c r="L25"/>
  <c r="O24"/>
  <c r="M24"/>
  <c r="L24"/>
  <c r="P24" s="1"/>
  <c r="O23"/>
  <c r="M23"/>
  <c r="L23"/>
  <c r="O22"/>
  <c r="M22"/>
  <c r="L22"/>
  <c r="O21"/>
  <c r="M21"/>
  <c r="L21"/>
  <c r="O20"/>
  <c r="M20"/>
  <c r="L20"/>
  <c r="J18"/>
  <c r="I18"/>
  <c r="H18"/>
  <c r="G18"/>
  <c r="K18" s="1"/>
  <c r="E18"/>
  <c r="O18" s="1"/>
  <c r="D18"/>
  <c r="N18" s="1"/>
  <c r="C18"/>
  <c r="M18" s="1"/>
  <c r="B18"/>
  <c r="L18" s="1"/>
  <c r="J17"/>
  <c r="I17"/>
  <c r="H17"/>
  <c r="G17"/>
  <c r="E17"/>
  <c r="O17" s="1"/>
  <c r="O16" s="1"/>
  <c r="D17"/>
  <c r="N17" s="1"/>
  <c r="N16" s="1"/>
  <c r="C17"/>
  <c r="M17" s="1"/>
  <c r="M16" s="1"/>
  <c r="B17"/>
  <c r="L17" s="1"/>
  <c r="J16"/>
  <c r="I16"/>
  <c r="H16"/>
  <c r="G16"/>
  <c r="E16"/>
  <c r="D16"/>
  <c r="B16"/>
  <c r="O15"/>
  <c r="N15"/>
  <c r="M15"/>
  <c r="L15"/>
  <c r="K15"/>
  <c r="J15"/>
  <c r="I15"/>
  <c r="H15"/>
  <c r="G15"/>
  <c r="F15"/>
  <c r="E15"/>
  <c r="D15"/>
  <c r="C15"/>
  <c r="B15"/>
  <c r="J14"/>
  <c r="I14"/>
  <c r="H14"/>
  <c r="G14"/>
  <c r="E14"/>
  <c r="O14" s="1"/>
  <c r="D14"/>
  <c r="N14" s="1"/>
  <c r="C14"/>
  <c r="M14" s="1"/>
  <c r="B14"/>
  <c r="L14" s="1"/>
  <c r="J13"/>
  <c r="I13"/>
  <c r="H13"/>
  <c r="G13"/>
  <c r="E13"/>
  <c r="O13" s="1"/>
  <c r="D13"/>
  <c r="N13" s="1"/>
  <c r="C13"/>
  <c r="M13" s="1"/>
  <c r="B13"/>
  <c r="L13" s="1"/>
  <c r="P13" s="1"/>
  <c r="J12"/>
  <c r="I12"/>
  <c r="H12"/>
  <c r="G12"/>
  <c r="E12"/>
  <c r="O12" s="1"/>
  <c r="O11" s="1"/>
  <c r="O10" s="1"/>
  <c r="D12"/>
  <c r="N12" s="1"/>
  <c r="N11" s="1"/>
  <c r="N10" s="1"/>
  <c r="C12"/>
  <c r="M12" s="1"/>
  <c r="M11" s="1"/>
  <c r="M10" s="1"/>
  <c r="B12"/>
  <c r="L12" s="1"/>
  <c r="J11"/>
  <c r="I11"/>
  <c r="I10" s="1"/>
  <c r="H11"/>
  <c r="H10" s="1"/>
  <c r="G11"/>
  <c r="G10" s="1"/>
  <c r="D11"/>
  <c r="D10" s="1"/>
  <c r="B11"/>
  <c r="J10"/>
  <c r="B10"/>
  <c r="O80" i="24"/>
  <c r="M80"/>
  <c r="L80"/>
  <c r="M79"/>
  <c r="L79"/>
  <c r="L78" s="1"/>
  <c r="O77"/>
  <c r="M77"/>
  <c r="L77"/>
  <c r="O76"/>
  <c r="M76"/>
  <c r="L76"/>
  <c r="O75"/>
  <c r="M75"/>
  <c r="L75"/>
  <c r="L74" s="1"/>
  <c r="O74"/>
  <c r="O71"/>
  <c r="M71"/>
  <c r="L71"/>
  <c r="O70"/>
  <c r="M70"/>
  <c r="M69" s="1"/>
  <c r="L70"/>
  <c r="O69"/>
  <c r="L69"/>
  <c r="O68"/>
  <c r="M68"/>
  <c r="L68"/>
  <c r="O67"/>
  <c r="M67"/>
  <c r="L67"/>
  <c r="O66"/>
  <c r="M66"/>
  <c r="L66"/>
  <c r="L65" s="1"/>
  <c r="L64" s="1"/>
  <c r="O65"/>
  <c r="O64" s="1"/>
  <c r="O62"/>
  <c r="M62"/>
  <c r="L62"/>
  <c r="P62" s="1"/>
  <c r="O61"/>
  <c r="M61"/>
  <c r="M60" s="1"/>
  <c r="L61"/>
  <c r="O60"/>
  <c r="L60"/>
  <c r="O59"/>
  <c r="M59"/>
  <c r="L59"/>
  <c r="O58"/>
  <c r="M58"/>
  <c r="L58"/>
  <c r="O57"/>
  <c r="M57"/>
  <c r="M56" s="1"/>
  <c r="O56"/>
  <c r="O55" s="1"/>
  <c r="O53"/>
  <c r="M53"/>
  <c r="L53"/>
  <c r="O52"/>
  <c r="M52"/>
  <c r="M51" s="1"/>
  <c r="L52"/>
  <c r="O51"/>
  <c r="L51"/>
  <c r="O50"/>
  <c r="M50"/>
  <c r="L50"/>
  <c r="P50" s="1"/>
  <c r="O49"/>
  <c r="M49"/>
  <c r="O48"/>
  <c r="O47" s="1"/>
  <c r="O46" s="1"/>
  <c r="M48"/>
  <c r="L48"/>
  <c r="O44"/>
  <c r="M44"/>
  <c r="L44"/>
  <c r="O43"/>
  <c r="M43"/>
  <c r="L43"/>
  <c r="O42"/>
  <c r="M42"/>
  <c r="L42"/>
  <c r="O41"/>
  <c r="M41"/>
  <c r="L41"/>
  <c r="O40"/>
  <c r="M40"/>
  <c r="L40"/>
  <c r="O39"/>
  <c r="M39"/>
  <c r="L39"/>
  <c r="O38"/>
  <c r="M38"/>
  <c r="L38"/>
  <c r="L37" s="1"/>
  <c r="O37"/>
  <c r="M37"/>
  <c r="O35"/>
  <c r="M35"/>
  <c r="L35"/>
  <c r="O34"/>
  <c r="M34"/>
  <c r="L34"/>
  <c r="O33"/>
  <c r="M33"/>
  <c r="L33"/>
  <c r="O32"/>
  <c r="M32"/>
  <c r="L32"/>
  <c r="O31"/>
  <c r="M31"/>
  <c r="L31"/>
  <c r="O30"/>
  <c r="M30"/>
  <c r="L30"/>
  <c r="O29"/>
  <c r="M29"/>
  <c r="L29"/>
  <c r="O28"/>
  <c r="M28"/>
  <c r="L28"/>
  <c r="O26"/>
  <c r="M26"/>
  <c r="L26"/>
  <c r="O25"/>
  <c r="M25"/>
  <c r="L25"/>
  <c r="O24"/>
  <c r="M24"/>
  <c r="L24"/>
  <c r="O23"/>
  <c r="M23"/>
  <c r="P23" s="1"/>
  <c r="L23"/>
  <c r="O22"/>
  <c r="M22"/>
  <c r="L22"/>
  <c r="O21"/>
  <c r="M21"/>
  <c r="O20"/>
  <c r="M20"/>
  <c r="O19"/>
  <c r="M19"/>
  <c r="J17"/>
  <c r="H17"/>
  <c r="G17"/>
  <c r="E17"/>
  <c r="O17" s="1"/>
  <c r="C17"/>
  <c r="B17"/>
  <c r="L17" s="1"/>
  <c r="J16"/>
  <c r="J15" s="1"/>
  <c r="H16"/>
  <c r="G16"/>
  <c r="K16" s="1"/>
  <c r="E16"/>
  <c r="C16"/>
  <c r="M16" s="1"/>
  <c r="B16"/>
  <c r="H15"/>
  <c r="E15"/>
  <c r="J14"/>
  <c r="H14"/>
  <c r="E14"/>
  <c r="O14" s="1"/>
  <c r="C14"/>
  <c r="B14"/>
  <c r="J13"/>
  <c r="H13"/>
  <c r="G13"/>
  <c r="E13"/>
  <c r="C13"/>
  <c r="M13" s="1"/>
  <c r="B13"/>
  <c r="J12"/>
  <c r="H12"/>
  <c r="H11" s="1"/>
  <c r="H10" s="1"/>
  <c r="E12"/>
  <c r="O12" s="1"/>
  <c r="C12"/>
  <c r="C11" s="1"/>
  <c r="B12"/>
  <c r="J11"/>
  <c r="J10" s="1"/>
  <c r="O80" i="23"/>
  <c r="M80"/>
  <c r="L80"/>
  <c r="O79"/>
  <c r="M79"/>
  <c r="M78" s="1"/>
  <c r="L79"/>
  <c r="O78"/>
  <c r="L78"/>
  <c r="O77"/>
  <c r="M77"/>
  <c r="L77"/>
  <c r="O76"/>
  <c r="M76"/>
  <c r="L76"/>
  <c r="O75"/>
  <c r="M75"/>
  <c r="M74" s="1"/>
  <c r="L75"/>
  <c r="O74"/>
  <c r="O73" s="1"/>
  <c r="O71"/>
  <c r="M71"/>
  <c r="L71"/>
  <c r="M70"/>
  <c r="L70"/>
  <c r="O70"/>
  <c r="O69" s="1"/>
  <c r="L69"/>
  <c r="O68"/>
  <c r="M68"/>
  <c r="L68"/>
  <c r="P68" s="1"/>
  <c r="O67"/>
  <c r="M67"/>
  <c r="M65" s="1"/>
  <c r="L67"/>
  <c r="O66"/>
  <c r="O65" s="1"/>
  <c r="M66"/>
  <c r="L66"/>
  <c r="O62"/>
  <c r="M62"/>
  <c r="L62"/>
  <c r="O61"/>
  <c r="M61"/>
  <c r="L61"/>
  <c r="M60"/>
  <c r="O59"/>
  <c r="M59"/>
  <c r="L59"/>
  <c r="O58"/>
  <c r="M58"/>
  <c r="L58"/>
  <c r="O57"/>
  <c r="M57"/>
  <c r="L57"/>
  <c r="O53"/>
  <c r="M53"/>
  <c r="L53"/>
  <c r="O52"/>
  <c r="M52"/>
  <c r="M51" s="1"/>
  <c r="L52"/>
  <c r="O51"/>
  <c r="L51"/>
  <c r="O50"/>
  <c r="M50"/>
  <c r="L50"/>
  <c r="O49"/>
  <c r="M49"/>
  <c r="L49"/>
  <c r="O48"/>
  <c r="N48"/>
  <c r="N47" s="1"/>
  <c r="N46" s="1"/>
  <c r="L48"/>
  <c r="O47"/>
  <c r="O46" s="1"/>
  <c r="O44"/>
  <c r="M44"/>
  <c r="L44"/>
  <c r="O43"/>
  <c r="O42" s="1"/>
  <c r="M43"/>
  <c r="L43"/>
  <c r="L42" s="1"/>
  <c r="O41"/>
  <c r="M41"/>
  <c r="L41"/>
  <c r="O40"/>
  <c r="M40"/>
  <c r="L40"/>
  <c r="O39"/>
  <c r="M39"/>
  <c r="M38" s="1"/>
  <c r="L39"/>
  <c r="O38"/>
  <c r="O37" s="1"/>
  <c r="O26"/>
  <c r="M26"/>
  <c r="L26"/>
  <c r="O25"/>
  <c r="M25"/>
  <c r="L25"/>
  <c r="O24"/>
  <c r="O23"/>
  <c r="M23"/>
  <c r="L23"/>
  <c r="O22"/>
  <c r="M22"/>
  <c r="L22"/>
  <c r="O21"/>
  <c r="O20" s="1"/>
  <c r="O19" s="1"/>
  <c r="M21"/>
  <c r="L21"/>
  <c r="L20" s="1"/>
  <c r="J17"/>
  <c r="I17"/>
  <c r="H17"/>
  <c r="G17"/>
  <c r="E17"/>
  <c r="O17" s="1"/>
  <c r="D17"/>
  <c r="N17" s="1"/>
  <c r="C17"/>
  <c r="M17" s="1"/>
  <c r="B17"/>
  <c r="L17" s="1"/>
  <c r="J16"/>
  <c r="I16"/>
  <c r="H16"/>
  <c r="G16"/>
  <c r="E16"/>
  <c r="O16" s="1"/>
  <c r="O15" s="1"/>
  <c r="D16"/>
  <c r="N16" s="1"/>
  <c r="N15" s="1"/>
  <c r="C16"/>
  <c r="M16" s="1"/>
  <c r="M15" s="1"/>
  <c r="B16"/>
  <c r="L16" s="1"/>
  <c r="J15"/>
  <c r="I15"/>
  <c r="H15"/>
  <c r="G15"/>
  <c r="E15"/>
  <c r="D15"/>
  <c r="C15"/>
  <c r="B15"/>
  <c r="J14"/>
  <c r="I14"/>
  <c r="H14"/>
  <c r="G14"/>
  <c r="E14"/>
  <c r="O14" s="1"/>
  <c r="D14"/>
  <c r="N14" s="1"/>
  <c r="C14"/>
  <c r="M14" s="1"/>
  <c r="B14"/>
  <c r="L14" s="1"/>
  <c r="J13"/>
  <c r="I13"/>
  <c r="H13"/>
  <c r="G13"/>
  <c r="E13"/>
  <c r="O13" s="1"/>
  <c r="D13"/>
  <c r="N13" s="1"/>
  <c r="C13"/>
  <c r="M13" s="1"/>
  <c r="B13"/>
  <c r="L13" s="1"/>
  <c r="J12"/>
  <c r="I12"/>
  <c r="H12"/>
  <c r="G12"/>
  <c r="E12"/>
  <c r="O12" s="1"/>
  <c r="O11" s="1"/>
  <c r="O10" s="1"/>
  <c r="D12"/>
  <c r="N12" s="1"/>
  <c r="N11" s="1"/>
  <c r="N10" s="1"/>
  <c r="C12"/>
  <c r="M12" s="1"/>
  <c r="M11" s="1"/>
  <c r="M10" s="1"/>
  <c r="B12"/>
  <c r="L12" s="1"/>
  <c r="J11"/>
  <c r="J10" s="1"/>
  <c r="I11"/>
  <c r="I10" s="1"/>
  <c r="H11"/>
  <c r="G11"/>
  <c r="G10" s="1"/>
  <c r="E11"/>
  <c r="E10" s="1"/>
  <c r="D11"/>
  <c r="D10" s="1"/>
  <c r="H10"/>
  <c r="O83" i="22"/>
  <c r="M83"/>
  <c r="L83"/>
  <c r="O82"/>
  <c r="M82"/>
  <c r="P82" s="1"/>
  <c r="L82"/>
  <c r="O81"/>
  <c r="M81"/>
  <c r="L81"/>
  <c r="O80"/>
  <c r="M80"/>
  <c r="L80"/>
  <c r="O79"/>
  <c r="M79"/>
  <c r="L79"/>
  <c r="O78"/>
  <c r="O77" s="1"/>
  <c r="O76" s="1"/>
  <c r="M78"/>
  <c r="L78"/>
  <c r="L77" s="1"/>
  <c r="L76" s="1"/>
  <c r="M77"/>
  <c r="M76" s="1"/>
  <c r="O74"/>
  <c r="M74"/>
  <c r="L74"/>
  <c r="P74" s="1"/>
  <c r="O73"/>
  <c r="M73"/>
  <c r="M72" s="1"/>
  <c r="L73"/>
  <c r="O72"/>
  <c r="L72"/>
  <c r="O71"/>
  <c r="M71"/>
  <c r="L71"/>
  <c r="O70"/>
  <c r="M70"/>
  <c r="L70"/>
  <c r="P70" s="1"/>
  <c r="O69"/>
  <c r="M69"/>
  <c r="M68" s="1"/>
  <c r="L69"/>
  <c r="O68"/>
  <c r="O67" s="1"/>
  <c r="L68"/>
  <c r="L67" s="1"/>
  <c r="O65"/>
  <c r="M65"/>
  <c r="L65"/>
  <c r="O64"/>
  <c r="M64"/>
  <c r="M63" s="1"/>
  <c r="L64"/>
  <c r="O63"/>
  <c r="L63"/>
  <c r="O62"/>
  <c r="M62"/>
  <c r="P62" s="1"/>
  <c r="L62"/>
  <c r="O61"/>
  <c r="M61"/>
  <c r="L61"/>
  <c r="O60"/>
  <c r="M60"/>
  <c r="P60" s="1"/>
  <c r="L60"/>
  <c r="O59"/>
  <c r="O58" s="1"/>
  <c r="L59"/>
  <c r="L58" s="1"/>
  <c r="O56"/>
  <c r="M56"/>
  <c r="L56"/>
  <c r="O55"/>
  <c r="M55"/>
  <c r="M54" s="1"/>
  <c r="M49" s="1"/>
  <c r="L55"/>
  <c r="O54"/>
  <c r="L54"/>
  <c r="O53"/>
  <c r="M53"/>
  <c r="L53"/>
  <c r="O52"/>
  <c r="M52"/>
  <c r="L52"/>
  <c r="O51"/>
  <c r="M51"/>
  <c r="L51"/>
  <c r="O50"/>
  <c r="M50"/>
  <c r="L50"/>
  <c r="O49"/>
  <c r="L49"/>
  <c r="O47"/>
  <c r="M47"/>
  <c r="L47"/>
  <c r="O46"/>
  <c r="M46"/>
  <c r="L46"/>
  <c r="P46" s="1"/>
  <c r="O45"/>
  <c r="M45"/>
  <c r="L45"/>
  <c r="O44"/>
  <c r="M44"/>
  <c r="L44"/>
  <c r="O43"/>
  <c r="M43"/>
  <c r="L43"/>
  <c r="O42"/>
  <c r="L42"/>
  <c r="M42"/>
  <c r="O41"/>
  <c r="M41"/>
  <c r="L41"/>
  <c r="P41" s="1"/>
  <c r="O40"/>
  <c r="L40"/>
  <c r="O39"/>
  <c r="L39"/>
  <c r="O37"/>
  <c r="M37"/>
  <c r="L37"/>
  <c r="O36"/>
  <c r="M36"/>
  <c r="L36"/>
  <c r="O35"/>
  <c r="L35"/>
  <c r="O34"/>
  <c r="M34"/>
  <c r="L34"/>
  <c r="O33"/>
  <c r="M33"/>
  <c r="L33"/>
  <c r="O32"/>
  <c r="M32"/>
  <c r="L32"/>
  <c r="O31"/>
  <c r="L31"/>
  <c r="L30" s="1"/>
  <c r="O30"/>
  <c r="O28"/>
  <c r="M28"/>
  <c r="L28"/>
  <c r="O27"/>
  <c r="M27"/>
  <c r="L27"/>
  <c r="O26"/>
  <c r="M26"/>
  <c r="L26"/>
  <c r="O25"/>
  <c r="M25"/>
  <c r="L25"/>
  <c r="O24"/>
  <c r="M24"/>
  <c r="L24"/>
  <c r="O23"/>
  <c r="M23"/>
  <c r="O22"/>
  <c r="M22"/>
  <c r="M21" s="1"/>
  <c r="M20" s="1"/>
  <c r="O21"/>
  <c r="O20"/>
  <c r="J18"/>
  <c r="H18"/>
  <c r="G18"/>
  <c r="E18"/>
  <c r="O18" s="1"/>
  <c r="C18"/>
  <c r="B18"/>
  <c r="L18" s="1"/>
  <c r="J17"/>
  <c r="J16" s="1"/>
  <c r="H17"/>
  <c r="H16" s="1"/>
  <c r="G17"/>
  <c r="G16" s="1"/>
  <c r="E17"/>
  <c r="C17"/>
  <c r="B17"/>
  <c r="B16" s="1"/>
  <c r="E16"/>
  <c r="O15"/>
  <c r="M15"/>
  <c r="L15"/>
  <c r="K15"/>
  <c r="J15"/>
  <c r="H15"/>
  <c r="G15"/>
  <c r="F15"/>
  <c r="E15"/>
  <c r="C15"/>
  <c r="B15"/>
  <c r="J14"/>
  <c r="H14"/>
  <c r="G14"/>
  <c r="E14"/>
  <c r="C14"/>
  <c r="B14"/>
  <c r="J13"/>
  <c r="H13"/>
  <c r="G13"/>
  <c r="E13"/>
  <c r="O13" s="1"/>
  <c r="C13"/>
  <c r="B13"/>
  <c r="L13" s="1"/>
  <c r="J12"/>
  <c r="J11" s="1"/>
  <c r="J10" s="1"/>
  <c r="H12"/>
  <c r="G12"/>
  <c r="K12" s="1"/>
  <c r="E12"/>
  <c r="C12"/>
  <c r="M12" s="1"/>
  <c r="B12"/>
  <c r="H11"/>
  <c r="E11"/>
  <c r="E10" s="1"/>
  <c r="B11"/>
  <c r="O73" i="21"/>
  <c r="M73"/>
  <c r="L73"/>
  <c r="O72"/>
  <c r="M72"/>
  <c r="L72"/>
  <c r="O71"/>
  <c r="M71"/>
  <c r="L71"/>
  <c r="O70"/>
  <c r="M70"/>
  <c r="L70"/>
  <c r="O69"/>
  <c r="M69"/>
  <c r="L69"/>
  <c r="O68"/>
  <c r="O67" s="1"/>
  <c r="O66" s="1"/>
  <c r="N68"/>
  <c r="L68"/>
  <c r="P68" s="1"/>
  <c r="M68"/>
  <c r="M67" s="1"/>
  <c r="M66" s="1"/>
  <c r="N67"/>
  <c r="N66" s="1"/>
  <c r="O64"/>
  <c r="M64"/>
  <c r="L64"/>
  <c r="O63"/>
  <c r="M63"/>
  <c r="P63" s="1"/>
  <c r="L63"/>
  <c r="O62"/>
  <c r="L62"/>
  <c r="O61"/>
  <c r="M61"/>
  <c r="P61" s="1"/>
  <c r="L61"/>
  <c r="O60"/>
  <c r="M60"/>
  <c r="L60"/>
  <c r="O59"/>
  <c r="M59"/>
  <c r="M58" s="1"/>
  <c r="L59"/>
  <c r="O58"/>
  <c r="O57" s="1"/>
  <c r="O55"/>
  <c r="M55"/>
  <c r="L55"/>
  <c r="O54"/>
  <c r="M54"/>
  <c r="M53" s="1"/>
  <c r="L54"/>
  <c r="O53"/>
  <c r="L53"/>
  <c r="O52"/>
  <c r="M52"/>
  <c r="L52"/>
  <c r="O51"/>
  <c r="M51"/>
  <c r="L51"/>
  <c r="O50"/>
  <c r="M50"/>
  <c r="M49" s="1"/>
  <c r="M48" s="1"/>
  <c r="L50"/>
  <c r="O49"/>
  <c r="O48" s="1"/>
  <c r="O46"/>
  <c r="M46"/>
  <c r="L46"/>
  <c r="O45"/>
  <c r="O44" s="1"/>
  <c r="M45"/>
  <c r="L45"/>
  <c r="L44" s="1"/>
  <c r="M44"/>
  <c r="O43"/>
  <c r="M43"/>
  <c r="L43"/>
  <c r="O42"/>
  <c r="M42"/>
  <c r="L42"/>
  <c r="O41"/>
  <c r="O40" s="1"/>
  <c r="O39" s="1"/>
  <c r="M41"/>
  <c r="L41"/>
  <c r="L40" s="1"/>
  <c r="L39" s="1"/>
  <c r="M40"/>
  <c r="M39" s="1"/>
  <c r="O37"/>
  <c r="M37"/>
  <c r="L37"/>
  <c r="O36"/>
  <c r="M36"/>
  <c r="L36"/>
  <c r="P36" s="1"/>
  <c r="O35"/>
  <c r="M35"/>
  <c r="L35"/>
  <c r="O34"/>
  <c r="M34"/>
  <c r="L34"/>
  <c r="O33"/>
  <c r="M33"/>
  <c r="L33"/>
  <c r="O32"/>
  <c r="O31" s="1"/>
  <c r="O30" s="1"/>
  <c r="M32"/>
  <c r="M31" s="1"/>
  <c r="M30" s="1"/>
  <c r="L32"/>
  <c r="O28"/>
  <c r="M28"/>
  <c r="P28" s="1"/>
  <c r="L28"/>
  <c r="L27"/>
  <c r="O27"/>
  <c r="O26" s="1"/>
  <c r="M27"/>
  <c r="L26"/>
  <c r="O25"/>
  <c r="M25"/>
  <c r="M15" s="1"/>
  <c r="L25"/>
  <c r="K15"/>
  <c r="O24"/>
  <c r="M24"/>
  <c r="L24"/>
  <c r="O23"/>
  <c r="L23"/>
  <c r="M23"/>
  <c r="O22"/>
  <c r="O21" s="1"/>
  <c r="O20" s="1"/>
  <c r="L22"/>
  <c r="M22"/>
  <c r="J18"/>
  <c r="I18"/>
  <c r="H18"/>
  <c r="G18"/>
  <c r="E18"/>
  <c r="O18" s="1"/>
  <c r="D18"/>
  <c r="N18" s="1"/>
  <c r="C18"/>
  <c r="M18" s="1"/>
  <c r="B18"/>
  <c r="L18" s="1"/>
  <c r="I17"/>
  <c r="I16" s="1"/>
  <c r="H17"/>
  <c r="G17"/>
  <c r="E17"/>
  <c r="D17"/>
  <c r="N17" s="1"/>
  <c r="C17"/>
  <c r="M17" s="1"/>
  <c r="B17"/>
  <c r="L17" s="1"/>
  <c r="H16"/>
  <c r="E16"/>
  <c r="C16"/>
  <c r="O15"/>
  <c r="N15"/>
  <c r="L15"/>
  <c r="J15"/>
  <c r="I15"/>
  <c r="H15"/>
  <c r="G15"/>
  <c r="F15"/>
  <c r="E15"/>
  <c r="D15"/>
  <c r="C15"/>
  <c r="B15"/>
  <c r="J14"/>
  <c r="I14"/>
  <c r="H14"/>
  <c r="G14"/>
  <c r="E14"/>
  <c r="O14" s="1"/>
  <c r="D14"/>
  <c r="N14" s="1"/>
  <c r="C14"/>
  <c r="M14" s="1"/>
  <c r="B14"/>
  <c r="L14" s="1"/>
  <c r="J13"/>
  <c r="I13"/>
  <c r="H13"/>
  <c r="G13"/>
  <c r="K13" s="1"/>
  <c r="E13"/>
  <c r="O13" s="1"/>
  <c r="D13"/>
  <c r="N13" s="1"/>
  <c r="C13"/>
  <c r="M13" s="1"/>
  <c r="B13"/>
  <c r="L13" s="1"/>
  <c r="J12"/>
  <c r="J11" s="1"/>
  <c r="I12"/>
  <c r="H12"/>
  <c r="H11" s="1"/>
  <c r="H10" s="1"/>
  <c r="E12"/>
  <c r="O12" s="1"/>
  <c r="D12"/>
  <c r="N12" s="1"/>
  <c r="C12"/>
  <c r="M12" s="1"/>
  <c r="B12"/>
  <c r="B11" s="1"/>
  <c r="I11"/>
  <c r="I10" s="1"/>
  <c r="D11"/>
  <c r="O44" i="20"/>
  <c r="M44"/>
  <c r="L44"/>
  <c r="P44" s="1"/>
  <c r="O43"/>
  <c r="M43"/>
  <c r="L43"/>
  <c r="O42"/>
  <c r="M42"/>
  <c r="L42"/>
  <c r="O41"/>
  <c r="M41"/>
  <c r="L41"/>
  <c r="O40"/>
  <c r="M40"/>
  <c r="L40"/>
  <c r="O39"/>
  <c r="M39"/>
  <c r="L39"/>
  <c r="O38"/>
  <c r="M38"/>
  <c r="M37" s="1"/>
  <c r="L38"/>
  <c r="O37"/>
  <c r="L37"/>
  <c r="O35"/>
  <c r="M35"/>
  <c r="L35"/>
  <c r="O34"/>
  <c r="M34"/>
  <c r="L34"/>
  <c r="O33"/>
  <c r="M33"/>
  <c r="L33"/>
  <c r="O32"/>
  <c r="M32"/>
  <c r="L32"/>
  <c r="O31"/>
  <c r="M31"/>
  <c r="L31"/>
  <c r="O30"/>
  <c r="O29" s="1"/>
  <c r="O28" s="1"/>
  <c r="M30"/>
  <c r="L30"/>
  <c r="L29" s="1"/>
  <c r="L28" s="1"/>
  <c r="M29"/>
  <c r="M28" s="1"/>
  <c r="O26"/>
  <c r="M26"/>
  <c r="L26"/>
  <c r="O25"/>
  <c r="O24" s="1"/>
  <c r="M25"/>
  <c r="L25"/>
  <c r="L24" s="1"/>
  <c r="M24"/>
  <c r="O23"/>
  <c r="M23"/>
  <c r="L23"/>
  <c r="O22"/>
  <c r="M22"/>
  <c r="L22"/>
  <c r="O21"/>
  <c r="O20" s="1"/>
  <c r="N21"/>
  <c r="M21"/>
  <c r="M20" s="1"/>
  <c r="M19" s="1"/>
  <c r="L21"/>
  <c r="N20"/>
  <c r="N19" s="1"/>
  <c r="J17"/>
  <c r="I17"/>
  <c r="H17"/>
  <c r="G17"/>
  <c r="E17"/>
  <c r="O17" s="1"/>
  <c r="D17"/>
  <c r="N17" s="1"/>
  <c r="C17"/>
  <c r="M17" s="1"/>
  <c r="B17"/>
  <c r="L17" s="1"/>
  <c r="J16"/>
  <c r="I16"/>
  <c r="H16"/>
  <c r="G16"/>
  <c r="E16"/>
  <c r="O16" s="1"/>
  <c r="D16"/>
  <c r="N16" s="1"/>
  <c r="N15" s="1"/>
  <c r="C16"/>
  <c r="M16" s="1"/>
  <c r="B16"/>
  <c r="L16" s="1"/>
  <c r="J15"/>
  <c r="I15"/>
  <c r="H15"/>
  <c r="G15"/>
  <c r="E15"/>
  <c r="C15"/>
  <c r="J14"/>
  <c r="I14"/>
  <c r="H14"/>
  <c r="G14"/>
  <c r="K14" s="1"/>
  <c r="E14"/>
  <c r="O14" s="1"/>
  <c r="D14"/>
  <c r="N14" s="1"/>
  <c r="C14"/>
  <c r="M14" s="1"/>
  <c r="B14"/>
  <c r="L14" s="1"/>
  <c r="P14" s="1"/>
  <c r="J13"/>
  <c r="I13"/>
  <c r="H13"/>
  <c r="G13"/>
  <c r="E13"/>
  <c r="O13" s="1"/>
  <c r="D13"/>
  <c r="N13" s="1"/>
  <c r="C13"/>
  <c r="M13" s="1"/>
  <c r="B13"/>
  <c r="L13" s="1"/>
  <c r="J12"/>
  <c r="I12"/>
  <c r="I11" s="1"/>
  <c r="I10" s="1"/>
  <c r="H12"/>
  <c r="G12"/>
  <c r="K12" s="1"/>
  <c r="E12"/>
  <c r="O12" s="1"/>
  <c r="D12"/>
  <c r="N12" s="1"/>
  <c r="N11" s="1"/>
  <c r="N10" s="1"/>
  <c r="C12"/>
  <c r="M12" s="1"/>
  <c r="B12"/>
  <c r="L12" s="1"/>
  <c r="J11"/>
  <c r="J10" s="1"/>
  <c r="H11"/>
  <c r="H10" s="1"/>
  <c r="E11"/>
  <c r="E10" s="1"/>
  <c r="C11"/>
  <c r="C10" s="1"/>
  <c r="O64" i="19"/>
  <c r="M64"/>
  <c r="L64"/>
  <c r="P64" s="1"/>
  <c r="O63"/>
  <c r="M63"/>
  <c r="M62" s="1"/>
  <c r="L63"/>
  <c r="O62"/>
  <c r="L62"/>
  <c r="O61"/>
  <c r="M61"/>
  <c r="L61"/>
  <c r="O60"/>
  <c r="M60"/>
  <c r="L60"/>
  <c r="O59"/>
  <c r="O58" s="1"/>
  <c r="O57" s="1"/>
  <c r="M59"/>
  <c r="M58"/>
  <c r="M57" s="1"/>
  <c r="O55"/>
  <c r="M55"/>
  <c r="L55"/>
  <c r="O54"/>
  <c r="M54"/>
  <c r="L54"/>
  <c r="O53"/>
  <c r="L53"/>
  <c r="O52"/>
  <c r="M52"/>
  <c r="L52"/>
  <c r="O51"/>
  <c r="M51"/>
  <c r="L51"/>
  <c r="O50"/>
  <c r="M50"/>
  <c r="M49" s="1"/>
  <c r="O49"/>
  <c r="O48"/>
  <c r="O46"/>
  <c r="M46"/>
  <c r="L46"/>
  <c r="O45"/>
  <c r="O44" s="1"/>
  <c r="M45"/>
  <c r="L45"/>
  <c r="P45" s="1"/>
  <c r="M44"/>
  <c r="L43"/>
  <c r="O43"/>
  <c r="M43"/>
  <c r="O42"/>
  <c r="M42"/>
  <c r="L42"/>
  <c r="O41"/>
  <c r="M41"/>
  <c r="L41"/>
  <c r="L40" s="1"/>
  <c r="O37"/>
  <c r="M37"/>
  <c r="L37"/>
  <c r="O36"/>
  <c r="M36"/>
  <c r="L36"/>
  <c r="P36" s="1"/>
  <c r="O35"/>
  <c r="M35"/>
  <c r="L35"/>
  <c r="O34"/>
  <c r="M34"/>
  <c r="L34"/>
  <c r="O33"/>
  <c r="M33"/>
  <c r="L33"/>
  <c r="M32"/>
  <c r="O32"/>
  <c r="O31" s="1"/>
  <c r="O30" s="1"/>
  <c r="M31"/>
  <c r="M30"/>
  <c r="O28"/>
  <c r="M28"/>
  <c r="L28"/>
  <c r="O27"/>
  <c r="O26" s="1"/>
  <c r="M27"/>
  <c r="L27"/>
  <c r="L26" s="1"/>
  <c r="M26"/>
  <c r="O25"/>
  <c r="M25"/>
  <c r="L25"/>
  <c r="O24"/>
  <c r="M24"/>
  <c r="L24"/>
  <c r="O23"/>
  <c r="L23"/>
  <c r="O22"/>
  <c r="N22"/>
  <c r="M22"/>
  <c r="L22"/>
  <c r="O21"/>
  <c r="N21"/>
  <c r="N20" s="1"/>
  <c r="L21"/>
  <c r="O18"/>
  <c r="M18"/>
  <c r="M17"/>
  <c r="M16" s="1"/>
  <c r="L17"/>
  <c r="E16"/>
  <c r="D16"/>
  <c r="C16"/>
  <c r="B16"/>
  <c r="K15"/>
  <c r="F15"/>
  <c r="O15"/>
  <c r="M15"/>
  <c r="M14"/>
  <c r="O13"/>
  <c r="M13"/>
  <c r="L13"/>
  <c r="I11"/>
  <c r="I10" s="1"/>
  <c r="K12"/>
  <c r="O12"/>
  <c r="N12"/>
  <c r="N11" s="1"/>
  <c r="N10" s="1"/>
  <c r="M12"/>
  <c r="L12"/>
  <c r="J11"/>
  <c r="J10" s="1"/>
  <c r="H11"/>
  <c r="H10" s="1"/>
  <c r="E11"/>
  <c r="C11"/>
  <c r="C10" s="1"/>
  <c r="O200" i="18"/>
  <c r="M200"/>
  <c r="L200"/>
  <c r="O199"/>
  <c r="M199"/>
  <c r="L199"/>
  <c r="O198"/>
  <c r="M198"/>
  <c r="L198"/>
  <c r="O197"/>
  <c r="M197"/>
  <c r="L197"/>
  <c r="O196"/>
  <c r="M196"/>
  <c r="M195"/>
  <c r="O195"/>
  <c r="O194" s="1"/>
  <c r="O193" s="1"/>
  <c r="O191"/>
  <c r="M191"/>
  <c r="L191"/>
  <c r="O190"/>
  <c r="O189" s="1"/>
  <c r="L190"/>
  <c r="M190"/>
  <c r="L189"/>
  <c r="O188"/>
  <c r="M188"/>
  <c r="L188"/>
  <c r="P188" s="1"/>
  <c r="O187"/>
  <c r="M187"/>
  <c r="O186"/>
  <c r="M186"/>
  <c r="M185" s="1"/>
  <c r="O185"/>
  <c r="O182"/>
  <c r="M182"/>
  <c r="L182"/>
  <c r="O181"/>
  <c r="M181"/>
  <c r="M180" s="1"/>
  <c r="L181"/>
  <c r="O180"/>
  <c r="L180"/>
  <c r="O179"/>
  <c r="M179"/>
  <c r="L179"/>
  <c r="O178"/>
  <c r="O176" s="1"/>
  <c r="O175" s="1"/>
  <c r="M178"/>
  <c r="L178"/>
  <c r="O177"/>
  <c r="M177"/>
  <c r="M176" s="1"/>
  <c r="O173"/>
  <c r="M173"/>
  <c r="L173"/>
  <c r="O172"/>
  <c r="L172"/>
  <c r="L171" s="1"/>
  <c r="M172"/>
  <c r="O171"/>
  <c r="O170"/>
  <c r="M170"/>
  <c r="L170"/>
  <c r="O169"/>
  <c r="M169"/>
  <c r="O168"/>
  <c r="M168"/>
  <c r="L168"/>
  <c r="O164"/>
  <c r="M164"/>
  <c r="L164"/>
  <c r="M163"/>
  <c r="L163"/>
  <c r="O161"/>
  <c r="M161"/>
  <c r="L161"/>
  <c r="O160"/>
  <c r="M160"/>
  <c r="L160"/>
  <c r="O159"/>
  <c r="M159"/>
  <c r="L159"/>
  <c r="L158"/>
  <c r="O158"/>
  <c r="M158"/>
  <c r="M157" s="1"/>
  <c r="O154"/>
  <c r="M154"/>
  <c r="L154"/>
  <c r="O153"/>
  <c r="M153"/>
  <c r="L153"/>
  <c r="O152"/>
  <c r="M152"/>
  <c r="L152"/>
  <c r="O151"/>
  <c r="M151"/>
  <c r="L151"/>
  <c r="O150"/>
  <c r="M150"/>
  <c r="O149"/>
  <c r="L149"/>
  <c r="M149"/>
  <c r="O148"/>
  <c r="O147" s="1"/>
  <c r="O145"/>
  <c r="M145"/>
  <c r="L145"/>
  <c r="O144"/>
  <c r="O143" s="1"/>
  <c r="L144"/>
  <c r="O142"/>
  <c r="M142"/>
  <c r="L142"/>
  <c r="O141"/>
  <c r="L141"/>
  <c r="P141" s="1"/>
  <c r="M141"/>
  <c r="O140"/>
  <c r="M140"/>
  <c r="L140"/>
  <c r="O139"/>
  <c r="O136"/>
  <c r="M136"/>
  <c r="L136"/>
  <c r="O135"/>
  <c r="M135"/>
  <c r="L135"/>
  <c r="O134"/>
  <c r="M134"/>
  <c r="L134"/>
  <c r="O133"/>
  <c r="M133"/>
  <c r="P133" s="1"/>
  <c r="L133"/>
  <c r="O132"/>
  <c r="M132"/>
  <c r="O131"/>
  <c r="O130" s="1"/>
  <c r="M131"/>
  <c r="L131"/>
  <c r="O127"/>
  <c r="M127"/>
  <c r="L127"/>
  <c r="O126"/>
  <c r="M126"/>
  <c r="L126"/>
  <c r="O125"/>
  <c r="M125"/>
  <c r="L125"/>
  <c r="O124"/>
  <c r="M124"/>
  <c r="L124"/>
  <c r="O123"/>
  <c r="M123"/>
  <c r="L123"/>
  <c r="M122"/>
  <c r="M121" s="1"/>
  <c r="L122"/>
  <c r="M120"/>
  <c r="O118"/>
  <c r="M118"/>
  <c r="L118"/>
  <c r="O117"/>
  <c r="M117"/>
  <c r="L117"/>
  <c r="O116"/>
  <c r="M116"/>
  <c r="L116"/>
  <c r="O115"/>
  <c r="M115"/>
  <c r="L115"/>
  <c r="O114"/>
  <c r="M114"/>
  <c r="M113"/>
  <c r="L113"/>
  <c r="O113"/>
  <c r="M112"/>
  <c r="M111" s="1"/>
  <c r="O109"/>
  <c r="M109"/>
  <c r="L109"/>
  <c r="M108"/>
  <c r="L108"/>
  <c r="O108"/>
  <c r="O106"/>
  <c r="M106"/>
  <c r="L106"/>
  <c r="O105"/>
  <c r="M105"/>
  <c r="M104"/>
  <c r="M103" s="1"/>
  <c r="L104"/>
  <c r="O104"/>
  <c r="O103" s="1"/>
  <c r="O100"/>
  <c r="M100"/>
  <c r="P100" s="1"/>
  <c r="L100"/>
  <c r="O99"/>
  <c r="O98" s="1"/>
  <c r="M99"/>
  <c r="L99"/>
  <c r="L98" s="1"/>
  <c r="M98"/>
  <c r="O97"/>
  <c r="M97"/>
  <c r="L97"/>
  <c r="O96"/>
  <c r="M96"/>
  <c r="L96"/>
  <c r="O95"/>
  <c r="O94" s="1"/>
  <c r="L95"/>
  <c r="O91"/>
  <c r="M91"/>
  <c r="L91"/>
  <c r="P91" s="1"/>
  <c r="O90"/>
  <c r="M90"/>
  <c r="M89" s="1"/>
  <c r="L90"/>
  <c r="O89"/>
  <c r="L89"/>
  <c r="O88"/>
  <c r="M88"/>
  <c r="L88"/>
  <c r="O87"/>
  <c r="M87"/>
  <c r="L87"/>
  <c r="M86"/>
  <c r="M85" s="1"/>
  <c r="O82"/>
  <c r="M82"/>
  <c r="L82"/>
  <c r="O81"/>
  <c r="M81"/>
  <c r="L81"/>
  <c r="O80"/>
  <c r="M80"/>
  <c r="L80"/>
  <c r="O79"/>
  <c r="M79"/>
  <c r="L79"/>
  <c r="O78"/>
  <c r="M78"/>
  <c r="L77"/>
  <c r="O77"/>
  <c r="O76" s="1"/>
  <c r="O75" s="1"/>
  <c r="M77"/>
  <c r="O73"/>
  <c r="M73"/>
  <c r="L73"/>
  <c r="O72"/>
  <c r="M72"/>
  <c r="L72"/>
  <c r="O71"/>
  <c r="M71"/>
  <c r="L71"/>
  <c r="O70"/>
  <c r="M70"/>
  <c r="L70"/>
  <c r="O69"/>
  <c r="M69"/>
  <c r="O68"/>
  <c r="L68"/>
  <c r="O64"/>
  <c r="M64"/>
  <c r="L64"/>
  <c r="P64" s="1"/>
  <c r="O63"/>
  <c r="M63"/>
  <c r="L63"/>
  <c r="P63" s="1"/>
  <c r="P62" s="1"/>
  <c r="O62"/>
  <c r="M62"/>
  <c r="L62"/>
  <c r="O61"/>
  <c r="M61"/>
  <c r="L61"/>
  <c r="O60"/>
  <c r="M60"/>
  <c r="L60"/>
  <c r="O59"/>
  <c r="M59"/>
  <c r="L59"/>
  <c r="L58" s="1"/>
  <c r="O58"/>
  <c r="O55"/>
  <c r="M55"/>
  <c r="L55"/>
  <c r="O54"/>
  <c r="M54"/>
  <c r="L54"/>
  <c r="O53"/>
  <c r="M53"/>
  <c r="L53"/>
  <c r="O52"/>
  <c r="M52"/>
  <c r="L52"/>
  <c r="O51"/>
  <c r="M51"/>
  <c r="M50"/>
  <c r="L50"/>
  <c r="O50"/>
  <c r="O46"/>
  <c r="M46"/>
  <c r="L46"/>
  <c r="L45"/>
  <c r="L44" s="1"/>
  <c r="O45"/>
  <c r="O43"/>
  <c r="M43"/>
  <c r="L43"/>
  <c r="O42"/>
  <c r="M42"/>
  <c r="L42"/>
  <c r="O41"/>
  <c r="L41"/>
  <c r="O37"/>
  <c r="M37"/>
  <c r="L37"/>
  <c r="P37" s="1"/>
  <c r="O36"/>
  <c r="M36"/>
  <c r="M35" s="1"/>
  <c r="L36"/>
  <c r="O35"/>
  <c r="L35"/>
  <c r="O34"/>
  <c r="M34"/>
  <c r="P34" s="1"/>
  <c r="L34"/>
  <c r="O33"/>
  <c r="M33"/>
  <c r="O32"/>
  <c r="O31" s="1"/>
  <c r="M32"/>
  <c r="O28"/>
  <c r="M28"/>
  <c r="G18"/>
  <c r="O27"/>
  <c r="M27"/>
  <c r="L27"/>
  <c r="O25"/>
  <c r="O15" s="1"/>
  <c r="M25"/>
  <c r="L25"/>
  <c r="L15" s="1"/>
  <c r="O24"/>
  <c r="M24"/>
  <c r="L24"/>
  <c r="O23"/>
  <c r="M23"/>
  <c r="L23"/>
  <c r="O22"/>
  <c r="M22"/>
  <c r="J18"/>
  <c r="E18"/>
  <c r="C18"/>
  <c r="B18"/>
  <c r="H17"/>
  <c r="E17"/>
  <c r="C17"/>
  <c r="C16" s="1"/>
  <c r="B17"/>
  <c r="M15"/>
  <c r="K15"/>
  <c r="J15"/>
  <c r="H15"/>
  <c r="G15"/>
  <c r="F15"/>
  <c r="E15"/>
  <c r="C15"/>
  <c r="B15"/>
  <c r="E14"/>
  <c r="C14"/>
  <c r="B14"/>
  <c r="F14" s="1"/>
  <c r="J13"/>
  <c r="G13"/>
  <c r="E13"/>
  <c r="C13"/>
  <c r="B13"/>
  <c r="E12"/>
  <c r="C12"/>
  <c r="B12"/>
  <c r="C11"/>
  <c r="O18" i="17"/>
  <c r="M18"/>
  <c r="L18"/>
  <c r="M17"/>
  <c r="M16" s="1"/>
  <c r="L17"/>
  <c r="O17"/>
  <c r="O16" s="1"/>
  <c r="O15"/>
  <c r="M15"/>
  <c r="P15" s="1"/>
  <c r="L15"/>
  <c r="O14"/>
  <c r="M14"/>
  <c r="L14"/>
  <c r="M13"/>
  <c r="L13"/>
  <c r="O13"/>
  <c r="O12"/>
  <c r="O11" s="1"/>
  <c r="L12"/>
  <c r="L11"/>
  <c r="O107" i="16"/>
  <c r="M107"/>
  <c r="L107"/>
  <c r="P107" s="1"/>
  <c r="O106"/>
  <c r="M106"/>
  <c r="M105" s="1"/>
  <c r="L106"/>
  <c r="O105"/>
  <c r="L105"/>
  <c r="O104"/>
  <c r="M104"/>
  <c r="L104"/>
  <c r="O103"/>
  <c r="M103"/>
  <c r="L103"/>
  <c r="O102"/>
  <c r="N102"/>
  <c r="N101" s="1"/>
  <c r="N100" s="1"/>
  <c r="M102"/>
  <c r="L102"/>
  <c r="L101" s="1"/>
  <c r="O98"/>
  <c r="M98"/>
  <c r="L98"/>
  <c r="O97"/>
  <c r="O96" s="1"/>
  <c r="M97"/>
  <c r="L97"/>
  <c r="L96" s="1"/>
  <c r="M96"/>
  <c r="O95"/>
  <c r="M95"/>
  <c r="L95"/>
  <c r="O94"/>
  <c r="M94"/>
  <c r="L94"/>
  <c r="O93"/>
  <c r="O92" s="1"/>
  <c r="O91" s="1"/>
  <c r="M93"/>
  <c r="L93"/>
  <c r="L92" s="1"/>
  <c r="L91" s="1"/>
  <c r="M92"/>
  <c r="M91" s="1"/>
  <c r="O89"/>
  <c r="M89"/>
  <c r="L89"/>
  <c r="O88"/>
  <c r="O87" s="1"/>
  <c r="M88"/>
  <c r="L88"/>
  <c r="L87" s="1"/>
  <c r="M87"/>
  <c r="O86"/>
  <c r="M86"/>
  <c r="L86"/>
  <c r="O85"/>
  <c r="M85"/>
  <c r="L85"/>
  <c r="O84"/>
  <c r="O83" s="1"/>
  <c r="O82" s="1"/>
  <c r="M84"/>
  <c r="L84"/>
  <c r="L83" s="1"/>
  <c r="L82" s="1"/>
  <c r="M83"/>
  <c r="M82" s="1"/>
  <c r="O80"/>
  <c r="M80"/>
  <c r="L80"/>
  <c r="O79"/>
  <c r="M79"/>
  <c r="L79"/>
  <c r="O78"/>
  <c r="M78"/>
  <c r="L78"/>
  <c r="O77"/>
  <c r="M77"/>
  <c r="L77"/>
  <c r="O76"/>
  <c r="M76"/>
  <c r="L76"/>
  <c r="O75"/>
  <c r="M75"/>
  <c r="M74" s="1"/>
  <c r="M73" s="1"/>
  <c r="O74"/>
  <c r="O73" s="1"/>
  <c r="O71"/>
  <c r="M71"/>
  <c r="L71"/>
  <c r="O70"/>
  <c r="M70"/>
  <c r="L70"/>
  <c r="O69"/>
  <c r="M69"/>
  <c r="L69"/>
  <c r="O68"/>
  <c r="M68"/>
  <c r="L68"/>
  <c r="O67"/>
  <c r="M67"/>
  <c r="L67"/>
  <c r="O66"/>
  <c r="M66"/>
  <c r="M65" s="1"/>
  <c r="M64" s="1"/>
  <c r="L66"/>
  <c r="O65"/>
  <c r="O64" s="1"/>
  <c r="L65"/>
  <c r="L64" s="1"/>
  <c r="O62"/>
  <c r="M62"/>
  <c r="L62"/>
  <c r="O61"/>
  <c r="M61"/>
  <c r="M60" s="1"/>
  <c r="L61"/>
  <c r="O60"/>
  <c r="L60"/>
  <c r="O59"/>
  <c r="M59"/>
  <c r="L59"/>
  <c r="O58"/>
  <c r="M58"/>
  <c r="L58"/>
  <c r="O57"/>
  <c r="M57"/>
  <c r="M56" s="1"/>
  <c r="L57"/>
  <c r="O56"/>
  <c r="O55" s="1"/>
  <c r="L56"/>
  <c r="L55" s="1"/>
  <c r="O53"/>
  <c r="M53"/>
  <c r="L53"/>
  <c r="P53" s="1"/>
  <c r="O52"/>
  <c r="L52"/>
  <c r="O50"/>
  <c r="M50"/>
  <c r="L50"/>
  <c r="O49"/>
  <c r="M49"/>
  <c r="L49"/>
  <c r="O48"/>
  <c r="O47" s="1"/>
  <c r="M48"/>
  <c r="O44"/>
  <c r="M44"/>
  <c r="L44"/>
  <c r="O43"/>
  <c r="M43"/>
  <c r="L43"/>
  <c r="L42" s="1"/>
  <c r="O42"/>
  <c r="O41"/>
  <c r="M41"/>
  <c r="P41" s="1"/>
  <c r="L41"/>
  <c r="O40"/>
  <c r="M40"/>
  <c r="L40"/>
  <c r="O39"/>
  <c r="M39"/>
  <c r="P39" s="1"/>
  <c r="L39"/>
  <c r="O35"/>
  <c r="M35"/>
  <c r="L35"/>
  <c r="O34"/>
  <c r="M34"/>
  <c r="M33" s="1"/>
  <c r="L34"/>
  <c r="O33"/>
  <c r="L33"/>
  <c r="O32"/>
  <c r="M32"/>
  <c r="L32"/>
  <c r="O31"/>
  <c r="M31"/>
  <c r="L31"/>
  <c r="O30"/>
  <c r="M30"/>
  <c r="L30"/>
  <c r="O26"/>
  <c r="M26"/>
  <c r="M17" s="1"/>
  <c r="L26"/>
  <c r="L25"/>
  <c r="M25"/>
  <c r="L24"/>
  <c r="O23"/>
  <c r="M23"/>
  <c r="L23"/>
  <c r="O22"/>
  <c r="M22"/>
  <c r="M13" s="1"/>
  <c r="L22"/>
  <c r="O21"/>
  <c r="M21"/>
  <c r="P21" s="1"/>
  <c r="L21"/>
  <c r="O20"/>
  <c r="L20"/>
  <c r="N17"/>
  <c r="J17"/>
  <c r="I17"/>
  <c r="H17"/>
  <c r="G17"/>
  <c r="E17"/>
  <c r="D17"/>
  <c r="C17"/>
  <c r="B17"/>
  <c r="N16"/>
  <c r="L16"/>
  <c r="I16"/>
  <c r="G16"/>
  <c r="E16"/>
  <c r="D16"/>
  <c r="D15" s="1"/>
  <c r="C16"/>
  <c r="B16"/>
  <c r="E15"/>
  <c r="N14"/>
  <c r="J14"/>
  <c r="I14"/>
  <c r="H14"/>
  <c r="G14"/>
  <c r="E14"/>
  <c r="D14"/>
  <c r="C14"/>
  <c r="B14"/>
  <c r="N13"/>
  <c r="J13"/>
  <c r="I13"/>
  <c r="H13"/>
  <c r="G13"/>
  <c r="E13"/>
  <c r="D13"/>
  <c r="C13"/>
  <c r="B13"/>
  <c r="N12"/>
  <c r="N11" s="1"/>
  <c r="N10" s="1"/>
  <c r="J12"/>
  <c r="I12"/>
  <c r="E12"/>
  <c r="D12"/>
  <c r="C12"/>
  <c r="C11" s="1"/>
  <c r="B12"/>
  <c r="E11"/>
  <c r="E10" s="1"/>
  <c r="O101" i="15"/>
  <c r="L101"/>
  <c r="M101"/>
  <c r="P101" s="1"/>
  <c r="O100"/>
  <c r="L100"/>
  <c r="M100"/>
  <c r="L99"/>
  <c r="O98"/>
  <c r="M98"/>
  <c r="P98" s="1"/>
  <c r="L98"/>
  <c r="O97"/>
  <c r="M97"/>
  <c r="L97"/>
  <c r="O96"/>
  <c r="M96"/>
  <c r="P96" s="1"/>
  <c r="L96"/>
  <c r="O95"/>
  <c r="M95"/>
  <c r="L95"/>
  <c r="O94"/>
  <c r="L94"/>
  <c r="L93" s="1"/>
  <c r="O91"/>
  <c r="M91"/>
  <c r="L91"/>
  <c r="O90"/>
  <c r="O89" s="1"/>
  <c r="M90"/>
  <c r="L90"/>
  <c r="L89" s="1"/>
  <c r="M89"/>
  <c r="O88"/>
  <c r="M88"/>
  <c r="L88"/>
  <c r="P88" s="1"/>
  <c r="O87"/>
  <c r="M87"/>
  <c r="L87"/>
  <c r="O86"/>
  <c r="M86"/>
  <c r="L86"/>
  <c r="M85"/>
  <c r="M84" s="1"/>
  <c r="O82"/>
  <c r="M82"/>
  <c r="L82"/>
  <c r="O81"/>
  <c r="M81"/>
  <c r="L81"/>
  <c r="O80"/>
  <c r="M80"/>
  <c r="L80"/>
  <c r="O79"/>
  <c r="M79"/>
  <c r="L79"/>
  <c r="P79" s="1"/>
  <c r="O78"/>
  <c r="M78"/>
  <c r="L78"/>
  <c r="O77"/>
  <c r="O76" s="1"/>
  <c r="O75" s="1"/>
  <c r="M77"/>
  <c r="L77"/>
  <c r="L76" s="1"/>
  <c r="L75" s="1"/>
  <c r="M76"/>
  <c r="O73"/>
  <c r="M73"/>
  <c r="L73"/>
  <c r="O72"/>
  <c r="M72"/>
  <c r="M71" s="1"/>
  <c r="L72"/>
  <c r="O71"/>
  <c r="L71"/>
  <c r="O70"/>
  <c r="M70"/>
  <c r="L70"/>
  <c r="O69"/>
  <c r="M69"/>
  <c r="L69"/>
  <c r="O68"/>
  <c r="M68"/>
  <c r="M67" s="1"/>
  <c r="L68"/>
  <c r="O67"/>
  <c r="O66" s="1"/>
  <c r="L67"/>
  <c r="L66" s="1"/>
  <c r="O64"/>
  <c r="M64"/>
  <c r="L64"/>
  <c r="O63"/>
  <c r="M63"/>
  <c r="M62" s="1"/>
  <c r="L63"/>
  <c r="O62"/>
  <c r="L62"/>
  <c r="O61"/>
  <c r="M61"/>
  <c r="L61"/>
  <c r="O60"/>
  <c r="M60"/>
  <c r="L60"/>
  <c r="O59"/>
  <c r="M59"/>
  <c r="L59"/>
  <c r="M58"/>
  <c r="M57" s="1"/>
  <c r="O55"/>
  <c r="M55"/>
  <c r="L55"/>
  <c r="O54"/>
  <c r="M54"/>
  <c r="L54"/>
  <c r="O53"/>
  <c r="M53"/>
  <c r="L53"/>
  <c r="O52"/>
  <c r="M52"/>
  <c r="L52"/>
  <c r="O51"/>
  <c r="M51"/>
  <c r="L51"/>
  <c r="O50"/>
  <c r="M50"/>
  <c r="L50"/>
  <c r="O49"/>
  <c r="M49"/>
  <c r="L49"/>
  <c r="O48"/>
  <c r="M48"/>
  <c r="L48"/>
  <c r="O46"/>
  <c r="M46"/>
  <c r="P46" s="1"/>
  <c r="L46"/>
  <c r="L45"/>
  <c r="O45"/>
  <c r="O44" s="1"/>
  <c r="M45"/>
  <c r="L44"/>
  <c r="O43"/>
  <c r="M43"/>
  <c r="L43"/>
  <c r="O42"/>
  <c r="M42"/>
  <c r="L42"/>
  <c r="O41"/>
  <c r="M41"/>
  <c r="L41"/>
  <c r="L40" s="1"/>
  <c r="L39" s="1"/>
  <c r="O40"/>
  <c r="O37"/>
  <c r="M37"/>
  <c r="L37"/>
  <c r="O36"/>
  <c r="M36"/>
  <c r="L36"/>
  <c r="O35"/>
  <c r="M35"/>
  <c r="L35"/>
  <c r="O34"/>
  <c r="M34"/>
  <c r="O33"/>
  <c r="M33"/>
  <c r="L33"/>
  <c r="O32"/>
  <c r="O31" s="1"/>
  <c r="O30" s="1"/>
  <c r="M32"/>
  <c r="M31"/>
  <c r="M30" s="1"/>
  <c r="O28"/>
  <c r="M28"/>
  <c r="L28"/>
  <c r="P28" s="1"/>
  <c r="O27"/>
  <c r="M27"/>
  <c r="M26" s="1"/>
  <c r="L27"/>
  <c r="O26"/>
  <c r="L26"/>
  <c r="O25"/>
  <c r="M25"/>
  <c r="L25"/>
  <c r="O24"/>
  <c r="M24"/>
  <c r="L24"/>
  <c r="O23"/>
  <c r="M23"/>
  <c r="L23"/>
  <c r="O22"/>
  <c r="O21" s="1"/>
  <c r="O20" s="1"/>
  <c r="M22"/>
  <c r="L22"/>
  <c r="M21"/>
  <c r="J18"/>
  <c r="H18"/>
  <c r="G18"/>
  <c r="E18"/>
  <c r="C18"/>
  <c r="B18"/>
  <c r="J17"/>
  <c r="J16" s="1"/>
  <c r="G17"/>
  <c r="G16" s="1"/>
  <c r="E17"/>
  <c r="C17"/>
  <c r="C16" s="1"/>
  <c r="B17"/>
  <c r="E16"/>
  <c r="B16"/>
  <c r="O15"/>
  <c r="L15"/>
  <c r="J15"/>
  <c r="H15"/>
  <c r="G15"/>
  <c r="E15"/>
  <c r="C15"/>
  <c r="B15"/>
  <c r="J14"/>
  <c r="H14"/>
  <c r="G14"/>
  <c r="K14" s="1"/>
  <c r="E14"/>
  <c r="C14"/>
  <c r="M14" s="1"/>
  <c r="B14"/>
  <c r="J13"/>
  <c r="H13"/>
  <c r="G13"/>
  <c r="E13"/>
  <c r="O13" s="1"/>
  <c r="C13"/>
  <c r="B13"/>
  <c r="L13" s="1"/>
  <c r="J12"/>
  <c r="J11" s="1"/>
  <c r="J10" s="1"/>
  <c r="H12"/>
  <c r="G12"/>
  <c r="K12" s="1"/>
  <c r="E12"/>
  <c r="C12"/>
  <c r="M12" s="1"/>
  <c r="B12"/>
  <c r="H11"/>
  <c r="E11"/>
  <c r="E10" s="1"/>
  <c r="B11"/>
  <c r="B10" s="1"/>
  <c r="O109" i="14"/>
  <c r="M109"/>
  <c r="P109" s="1"/>
  <c r="L109"/>
  <c r="O108"/>
  <c r="O107" s="1"/>
  <c r="O102" s="1"/>
  <c r="M108"/>
  <c r="L108"/>
  <c r="P108" s="1"/>
  <c r="P107" s="1"/>
  <c r="O106"/>
  <c r="M106"/>
  <c r="L106"/>
  <c r="O105"/>
  <c r="M105"/>
  <c r="L105"/>
  <c r="O104"/>
  <c r="M104"/>
  <c r="L104"/>
  <c r="O103"/>
  <c r="M103"/>
  <c r="L103"/>
  <c r="O100"/>
  <c r="M100"/>
  <c r="L100"/>
  <c r="P100" s="1"/>
  <c r="O99"/>
  <c r="L99"/>
  <c r="M99"/>
  <c r="M98" s="1"/>
  <c r="O98"/>
  <c r="O97"/>
  <c r="M97"/>
  <c r="L97"/>
  <c r="P97" s="1"/>
  <c r="O96"/>
  <c r="M96"/>
  <c r="L96"/>
  <c r="O95"/>
  <c r="M95"/>
  <c r="M94" s="1"/>
  <c r="M93" s="1"/>
  <c r="O94"/>
  <c r="O93" s="1"/>
  <c r="O91"/>
  <c r="M91"/>
  <c r="L91"/>
  <c r="O90"/>
  <c r="M90"/>
  <c r="L90"/>
  <c r="O89"/>
  <c r="M89"/>
  <c r="L89"/>
  <c r="O88"/>
  <c r="M88"/>
  <c r="L88"/>
  <c r="O87"/>
  <c r="M87"/>
  <c r="L87"/>
  <c r="O86"/>
  <c r="O85" s="1"/>
  <c r="O84" s="1"/>
  <c r="M86"/>
  <c r="M85"/>
  <c r="M84" s="1"/>
  <c r="O82"/>
  <c r="M82"/>
  <c r="L82"/>
  <c r="O81"/>
  <c r="M81"/>
  <c r="L81"/>
  <c r="O80"/>
  <c r="M80"/>
  <c r="L80"/>
  <c r="O79"/>
  <c r="M79"/>
  <c r="O78"/>
  <c r="M78"/>
  <c r="L78"/>
  <c r="O77"/>
  <c r="M77"/>
  <c r="L77"/>
  <c r="P77" s="1"/>
  <c r="O76"/>
  <c r="O75"/>
  <c r="O73"/>
  <c r="M73"/>
  <c r="L73"/>
  <c r="P73" s="1"/>
  <c r="O72"/>
  <c r="M72"/>
  <c r="M71" s="1"/>
  <c r="L72"/>
  <c r="O71"/>
  <c r="L71"/>
  <c r="O70"/>
  <c r="M70"/>
  <c r="P70" s="1"/>
  <c r="L70"/>
  <c r="O69"/>
  <c r="M69"/>
  <c r="L69"/>
  <c r="O68"/>
  <c r="M68"/>
  <c r="M67" s="1"/>
  <c r="O64"/>
  <c r="M64"/>
  <c r="L64"/>
  <c r="O63"/>
  <c r="L63"/>
  <c r="M63"/>
  <c r="O62"/>
  <c r="L62"/>
  <c r="O61"/>
  <c r="M61"/>
  <c r="L61"/>
  <c r="K15"/>
  <c r="O60"/>
  <c r="M60"/>
  <c r="L60"/>
  <c r="O59"/>
  <c r="M59"/>
  <c r="L59"/>
  <c r="O58"/>
  <c r="M58"/>
  <c r="M57" s="1"/>
  <c r="L58"/>
  <c r="O57"/>
  <c r="O56"/>
  <c r="O54"/>
  <c r="M54"/>
  <c r="L54"/>
  <c r="O53"/>
  <c r="M53"/>
  <c r="L53"/>
  <c r="P53" s="1"/>
  <c r="O52"/>
  <c r="M52"/>
  <c r="L52"/>
  <c r="O51"/>
  <c r="M51"/>
  <c r="L51"/>
  <c r="P51" s="1"/>
  <c r="O50"/>
  <c r="M50"/>
  <c r="L50"/>
  <c r="P50" s="1"/>
  <c r="O49"/>
  <c r="O48" s="1"/>
  <c r="O47" s="1"/>
  <c r="M49"/>
  <c r="M48"/>
  <c r="M47" s="1"/>
  <c r="O45"/>
  <c r="M45"/>
  <c r="L45"/>
  <c r="O44"/>
  <c r="M44"/>
  <c r="P44" s="1"/>
  <c r="L44"/>
  <c r="O43"/>
  <c r="M43"/>
  <c r="L43"/>
  <c r="O42"/>
  <c r="M42"/>
  <c r="P42" s="1"/>
  <c r="L42"/>
  <c r="O41"/>
  <c r="M41"/>
  <c r="L41"/>
  <c r="O40"/>
  <c r="M40"/>
  <c r="M39" s="1"/>
  <c r="M38" s="1"/>
  <c r="L40"/>
  <c r="O39"/>
  <c r="O38"/>
  <c r="O36"/>
  <c r="M36"/>
  <c r="L36"/>
  <c r="O35"/>
  <c r="O34" s="1"/>
  <c r="O29" s="1"/>
  <c r="M35"/>
  <c r="L35"/>
  <c r="L34" s="1"/>
  <c r="M34"/>
  <c r="O33"/>
  <c r="M33"/>
  <c r="L33"/>
  <c r="O32"/>
  <c r="M32"/>
  <c r="L32"/>
  <c r="O31"/>
  <c r="M31"/>
  <c r="L31"/>
  <c r="O30"/>
  <c r="M30"/>
  <c r="M29" s="1"/>
  <c r="O27"/>
  <c r="M27"/>
  <c r="L27"/>
  <c r="L26"/>
  <c r="O26"/>
  <c r="O25" s="1"/>
  <c r="M26"/>
  <c r="L25"/>
  <c r="O24"/>
  <c r="M24"/>
  <c r="L24"/>
  <c r="O23"/>
  <c r="M23"/>
  <c r="L23"/>
  <c r="O22"/>
  <c r="M22"/>
  <c r="M21" s="1"/>
  <c r="O21"/>
  <c r="J18"/>
  <c r="H18"/>
  <c r="G18"/>
  <c r="E18"/>
  <c r="O18" s="1"/>
  <c r="C18"/>
  <c r="B18"/>
  <c r="F18" s="1"/>
  <c r="J17"/>
  <c r="J16" s="1"/>
  <c r="H17"/>
  <c r="G17"/>
  <c r="K17" s="1"/>
  <c r="E17"/>
  <c r="C17"/>
  <c r="M17" s="1"/>
  <c r="B17"/>
  <c r="H16"/>
  <c r="E16"/>
  <c r="B16"/>
  <c r="O15"/>
  <c r="L15"/>
  <c r="J15"/>
  <c r="H15"/>
  <c r="G15"/>
  <c r="F15"/>
  <c r="E15"/>
  <c r="C15"/>
  <c r="B15"/>
  <c r="J14"/>
  <c r="H14"/>
  <c r="G14"/>
  <c r="E14"/>
  <c r="C14"/>
  <c r="B14"/>
  <c r="J13"/>
  <c r="H13"/>
  <c r="E13"/>
  <c r="O13" s="1"/>
  <c r="C13"/>
  <c r="B13"/>
  <c r="J12"/>
  <c r="J11" s="1"/>
  <c r="J10" s="1"/>
  <c r="G12"/>
  <c r="E12"/>
  <c r="E11" s="1"/>
  <c r="E10" s="1"/>
  <c r="C12"/>
  <c r="C11" s="1"/>
  <c r="B12"/>
  <c r="B11" s="1"/>
  <c r="B10" s="1"/>
  <c r="O82" i="13"/>
  <c r="M82"/>
  <c r="L82"/>
  <c r="P82" s="1"/>
  <c r="O81"/>
  <c r="M81"/>
  <c r="L81"/>
  <c r="O80"/>
  <c r="M80"/>
  <c r="L80"/>
  <c r="O79"/>
  <c r="M79"/>
  <c r="L79"/>
  <c r="O78"/>
  <c r="M78"/>
  <c r="L78"/>
  <c r="O77"/>
  <c r="M77"/>
  <c r="L77"/>
  <c r="O76"/>
  <c r="M76"/>
  <c r="L76"/>
  <c r="O75"/>
  <c r="M75"/>
  <c r="L75"/>
  <c r="O73"/>
  <c r="M73"/>
  <c r="L73"/>
  <c r="L72"/>
  <c r="L71" s="1"/>
  <c r="O72"/>
  <c r="M72"/>
  <c r="M71" s="1"/>
  <c r="O70"/>
  <c r="M70"/>
  <c r="L70"/>
  <c r="O69"/>
  <c r="M69"/>
  <c r="L69"/>
  <c r="O68"/>
  <c r="M68"/>
  <c r="L68"/>
  <c r="M67"/>
  <c r="O64"/>
  <c r="M64"/>
  <c r="P64" s="1"/>
  <c r="L64"/>
  <c r="O63"/>
  <c r="O62" s="1"/>
  <c r="O57" s="1"/>
  <c r="M63"/>
  <c r="L63"/>
  <c r="L62" s="1"/>
  <c r="L57" s="1"/>
  <c r="M62"/>
  <c r="O61"/>
  <c r="M61"/>
  <c r="L61"/>
  <c r="O60"/>
  <c r="M60"/>
  <c r="L60"/>
  <c r="O59"/>
  <c r="M59"/>
  <c r="L59"/>
  <c r="O58"/>
  <c r="M58"/>
  <c r="M57" s="1"/>
  <c r="L58"/>
  <c r="O55"/>
  <c r="M55"/>
  <c r="L55"/>
  <c r="P55" s="1"/>
  <c r="O54"/>
  <c r="M54"/>
  <c r="L54"/>
  <c r="P54" s="1"/>
  <c r="P53" s="1"/>
  <c r="O53"/>
  <c r="M53"/>
  <c r="L53"/>
  <c r="O52"/>
  <c r="M52"/>
  <c r="L52"/>
  <c r="O51"/>
  <c r="M51"/>
  <c r="L51"/>
  <c r="O50"/>
  <c r="M50"/>
  <c r="L50"/>
  <c r="O49"/>
  <c r="M49"/>
  <c r="M48"/>
  <c r="O46"/>
  <c r="M46"/>
  <c r="L46"/>
  <c r="O45"/>
  <c r="O44" s="1"/>
  <c r="L45"/>
  <c r="M45"/>
  <c r="M44" s="1"/>
  <c r="O43"/>
  <c r="M43"/>
  <c r="L43"/>
  <c r="O42"/>
  <c r="M42"/>
  <c r="L42"/>
  <c r="M41"/>
  <c r="O41"/>
  <c r="O40" s="1"/>
  <c r="L41"/>
  <c r="M40"/>
  <c r="M39" s="1"/>
  <c r="O37"/>
  <c r="M37"/>
  <c r="L37"/>
  <c r="L36"/>
  <c r="L35" s="1"/>
  <c r="O36"/>
  <c r="M36"/>
  <c r="M35" s="1"/>
  <c r="O34"/>
  <c r="M34"/>
  <c r="O33"/>
  <c r="M33"/>
  <c r="L33"/>
  <c r="O32"/>
  <c r="O31" s="1"/>
  <c r="M32"/>
  <c r="O28"/>
  <c r="M28"/>
  <c r="L28"/>
  <c r="O27"/>
  <c r="L27"/>
  <c r="L26" s="1"/>
  <c r="M27"/>
  <c r="O26"/>
  <c r="O25"/>
  <c r="O15" s="1"/>
  <c r="M25"/>
  <c r="L25"/>
  <c r="L15" s="1"/>
  <c r="O24"/>
  <c r="M24"/>
  <c r="L24"/>
  <c r="O23"/>
  <c r="M23"/>
  <c r="L23"/>
  <c r="O22"/>
  <c r="M22"/>
  <c r="L22"/>
  <c r="M21"/>
  <c r="J18"/>
  <c r="H18"/>
  <c r="G18"/>
  <c r="E18"/>
  <c r="C18"/>
  <c r="B18"/>
  <c r="J17"/>
  <c r="J16" s="1"/>
  <c r="G17"/>
  <c r="G16" s="1"/>
  <c r="E17"/>
  <c r="C17"/>
  <c r="C16" s="1"/>
  <c r="B17"/>
  <c r="E16"/>
  <c r="M15"/>
  <c r="K15"/>
  <c r="J15"/>
  <c r="H15"/>
  <c r="G15"/>
  <c r="F15"/>
  <c r="E15"/>
  <c r="C15"/>
  <c r="B15"/>
  <c r="J14"/>
  <c r="H14"/>
  <c r="E14"/>
  <c r="O14" s="1"/>
  <c r="C14"/>
  <c r="B14"/>
  <c r="F14" s="1"/>
  <c r="J13"/>
  <c r="H13"/>
  <c r="G13"/>
  <c r="K13" s="1"/>
  <c r="E13"/>
  <c r="C13"/>
  <c r="M13" s="1"/>
  <c r="B13"/>
  <c r="H12"/>
  <c r="H11" s="1"/>
  <c r="E12"/>
  <c r="C12"/>
  <c r="B12"/>
  <c r="O46" i="12"/>
  <c r="M46"/>
  <c r="L46"/>
  <c r="P46" s="1"/>
  <c r="O45"/>
  <c r="M45"/>
  <c r="M44" s="1"/>
  <c r="L45"/>
  <c r="O44"/>
  <c r="L44"/>
  <c r="O43"/>
  <c r="M43"/>
  <c r="L43"/>
  <c r="O42"/>
  <c r="M42"/>
  <c r="L42"/>
  <c r="P42" s="1"/>
  <c r="O41"/>
  <c r="M41"/>
  <c r="M40" s="1"/>
  <c r="M39" s="1"/>
  <c r="L41"/>
  <c r="O40"/>
  <c r="O39" s="1"/>
  <c r="L40"/>
  <c r="L39" s="1"/>
  <c r="O37"/>
  <c r="M37"/>
  <c r="L37"/>
  <c r="O36"/>
  <c r="M36"/>
  <c r="M35" s="1"/>
  <c r="M30" s="1"/>
  <c r="L36"/>
  <c r="O35"/>
  <c r="L35"/>
  <c r="O34"/>
  <c r="M34"/>
  <c r="L34"/>
  <c r="O33"/>
  <c r="M33"/>
  <c r="L33"/>
  <c r="O32"/>
  <c r="O31" s="1"/>
  <c r="O30" s="1"/>
  <c r="M32"/>
  <c r="L32"/>
  <c r="M31"/>
  <c r="O28"/>
  <c r="L28"/>
  <c r="M28"/>
  <c r="O27"/>
  <c r="O26" s="1"/>
  <c r="M27"/>
  <c r="L27"/>
  <c r="O24"/>
  <c r="M24"/>
  <c r="L24"/>
  <c r="O23"/>
  <c r="M23"/>
  <c r="L23"/>
  <c r="O22"/>
  <c r="O21" s="1"/>
  <c r="M22"/>
  <c r="L22"/>
  <c r="P22" s="1"/>
  <c r="M21"/>
  <c r="J18"/>
  <c r="H18"/>
  <c r="G18"/>
  <c r="E18"/>
  <c r="O18" s="1"/>
  <c r="D18"/>
  <c r="C18"/>
  <c r="M18" s="1"/>
  <c r="B18"/>
  <c r="L18" s="1"/>
  <c r="J17"/>
  <c r="H17"/>
  <c r="G17"/>
  <c r="E17"/>
  <c r="D17"/>
  <c r="C17"/>
  <c r="M17" s="1"/>
  <c r="M16" s="1"/>
  <c r="B17"/>
  <c r="J16"/>
  <c r="H16"/>
  <c r="G16"/>
  <c r="E16"/>
  <c r="D16"/>
  <c r="C16"/>
  <c r="B16"/>
  <c r="E15"/>
  <c r="O15" s="1"/>
  <c r="D15"/>
  <c r="C15"/>
  <c r="M15" s="1"/>
  <c r="B15"/>
  <c r="F15" s="1"/>
  <c r="J14"/>
  <c r="H14"/>
  <c r="G14"/>
  <c r="K14" s="1"/>
  <c r="E14"/>
  <c r="D14"/>
  <c r="C14"/>
  <c r="M14" s="1"/>
  <c r="B14"/>
  <c r="L14" s="1"/>
  <c r="J13"/>
  <c r="H13"/>
  <c r="G13"/>
  <c r="E13"/>
  <c r="D13"/>
  <c r="C13"/>
  <c r="M13" s="1"/>
  <c r="B13"/>
  <c r="J12"/>
  <c r="H12"/>
  <c r="G12"/>
  <c r="E12"/>
  <c r="D12"/>
  <c r="C12"/>
  <c r="M12" s="1"/>
  <c r="M11" s="1"/>
  <c r="M10" s="1"/>
  <c r="B12"/>
  <c r="L12" s="1"/>
  <c r="J11"/>
  <c r="H11"/>
  <c r="G11"/>
  <c r="E11"/>
  <c r="D11"/>
  <c r="C11"/>
  <c r="B11"/>
  <c r="J10"/>
  <c r="H10"/>
  <c r="G10"/>
  <c r="E10"/>
  <c r="D10"/>
  <c r="C10"/>
  <c r="B10"/>
  <c r="O53" i="11"/>
  <c r="M53"/>
  <c r="L53"/>
  <c r="P53" s="1"/>
  <c r="O52"/>
  <c r="L52"/>
  <c r="L51" s="1"/>
  <c r="M52"/>
  <c r="M51" s="1"/>
  <c r="O51"/>
  <c r="O50"/>
  <c r="M50"/>
  <c r="L50"/>
  <c r="O49"/>
  <c r="M49"/>
  <c r="P49" s="1"/>
  <c r="L49"/>
  <c r="O48"/>
  <c r="O47" s="1"/>
  <c r="O46" s="1"/>
  <c r="M48"/>
  <c r="L48"/>
  <c r="L47" s="1"/>
  <c r="M47"/>
  <c r="O44"/>
  <c r="M44"/>
  <c r="L44"/>
  <c r="O43"/>
  <c r="M43"/>
  <c r="L43"/>
  <c r="O42"/>
  <c r="M42"/>
  <c r="L42"/>
  <c r="O41"/>
  <c r="M41"/>
  <c r="L41"/>
  <c r="O40"/>
  <c r="M40"/>
  <c r="L40"/>
  <c r="O39"/>
  <c r="O38" s="1"/>
  <c r="O37" s="1"/>
  <c r="L39"/>
  <c r="M39"/>
  <c r="P39" s="1"/>
  <c r="L38"/>
  <c r="L37"/>
  <c r="O35"/>
  <c r="M35"/>
  <c r="P35" s="1"/>
  <c r="L35"/>
  <c r="O34"/>
  <c r="O33" s="1"/>
  <c r="M34"/>
  <c r="L34"/>
  <c r="L33" s="1"/>
  <c r="M33"/>
  <c r="O32"/>
  <c r="M32"/>
  <c r="L32"/>
  <c r="O31"/>
  <c r="M31"/>
  <c r="P31" s="1"/>
  <c r="L31"/>
  <c r="O30"/>
  <c r="O29" s="1"/>
  <c r="O28" s="1"/>
  <c r="M30"/>
  <c r="L30"/>
  <c r="L29" s="1"/>
  <c r="L28" s="1"/>
  <c r="M29"/>
  <c r="M28" s="1"/>
  <c r="O26"/>
  <c r="M26"/>
  <c r="L26"/>
  <c r="O25"/>
  <c r="O24" s="1"/>
  <c r="O19" s="1"/>
  <c r="M25"/>
  <c r="L25"/>
  <c r="L24" s="1"/>
  <c r="L19" s="1"/>
  <c r="M24"/>
  <c r="O23"/>
  <c r="M23"/>
  <c r="L23"/>
  <c r="O22"/>
  <c r="M22"/>
  <c r="L22"/>
  <c r="O21"/>
  <c r="N21"/>
  <c r="L21"/>
  <c r="M21"/>
  <c r="M20" s="1"/>
  <c r="M19" s="1"/>
  <c r="O20"/>
  <c r="N20"/>
  <c r="N19" s="1"/>
  <c r="L20"/>
  <c r="J17"/>
  <c r="I17"/>
  <c r="H17"/>
  <c r="G17"/>
  <c r="E17"/>
  <c r="O17" s="1"/>
  <c r="D17"/>
  <c r="N17" s="1"/>
  <c r="C17"/>
  <c r="M17" s="1"/>
  <c r="B17"/>
  <c r="L17" s="1"/>
  <c r="J16"/>
  <c r="I16"/>
  <c r="H16"/>
  <c r="G16"/>
  <c r="K16" s="1"/>
  <c r="E16"/>
  <c r="O16" s="1"/>
  <c r="O15" s="1"/>
  <c r="D16"/>
  <c r="N16" s="1"/>
  <c r="N15" s="1"/>
  <c r="C16"/>
  <c r="M16" s="1"/>
  <c r="M15" s="1"/>
  <c r="B16"/>
  <c r="L16" s="1"/>
  <c r="J15"/>
  <c r="I15"/>
  <c r="H15"/>
  <c r="G15"/>
  <c r="E15"/>
  <c r="D15"/>
  <c r="C15"/>
  <c r="J14"/>
  <c r="I14"/>
  <c r="H14"/>
  <c r="G14"/>
  <c r="K14" s="1"/>
  <c r="E14"/>
  <c r="O14" s="1"/>
  <c r="D14"/>
  <c r="N14" s="1"/>
  <c r="C14"/>
  <c r="M14" s="1"/>
  <c r="B14"/>
  <c r="L14" s="1"/>
  <c r="P14" s="1"/>
  <c r="J13"/>
  <c r="I13"/>
  <c r="H13"/>
  <c r="G13"/>
  <c r="E13"/>
  <c r="O13" s="1"/>
  <c r="D13"/>
  <c r="N13" s="1"/>
  <c r="C13"/>
  <c r="M13" s="1"/>
  <c r="B13"/>
  <c r="L13" s="1"/>
  <c r="J12"/>
  <c r="I12"/>
  <c r="H12"/>
  <c r="G12"/>
  <c r="K12" s="1"/>
  <c r="E12"/>
  <c r="O12" s="1"/>
  <c r="O11" s="1"/>
  <c r="O10" s="1"/>
  <c r="D12"/>
  <c r="N12" s="1"/>
  <c r="N11" s="1"/>
  <c r="N10" s="1"/>
  <c r="C12"/>
  <c r="M12" s="1"/>
  <c r="M11" s="1"/>
  <c r="M10" s="1"/>
  <c r="B12"/>
  <c r="L12" s="1"/>
  <c r="J11"/>
  <c r="J10" s="1"/>
  <c r="I11"/>
  <c r="H11"/>
  <c r="H10" s="1"/>
  <c r="G11"/>
  <c r="E11"/>
  <c r="E10" s="1"/>
  <c r="D11"/>
  <c r="C11"/>
  <c r="C10" s="1"/>
  <c r="I10"/>
  <c r="G10"/>
  <c r="D10"/>
  <c r="O116" i="10"/>
  <c r="M116"/>
  <c r="L116"/>
  <c r="O115"/>
  <c r="M115"/>
  <c r="L115"/>
  <c r="O114"/>
  <c r="M114"/>
  <c r="L114"/>
  <c r="O113"/>
  <c r="M113"/>
  <c r="L113"/>
  <c r="O112"/>
  <c r="M112"/>
  <c r="L112"/>
  <c r="O111"/>
  <c r="M111"/>
  <c r="L111"/>
  <c r="P111" s="1"/>
  <c r="O110"/>
  <c r="O109" s="1"/>
  <c r="M110"/>
  <c r="L110"/>
  <c r="L109" s="1"/>
  <c r="O107"/>
  <c r="M107"/>
  <c r="L107"/>
  <c r="O106"/>
  <c r="M106"/>
  <c r="L106"/>
  <c r="O105"/>
  <c r="O104"/>
  <c r="M104"/>
  <c r="L104"/>
  <c r="O103"/>
  <c r="M103"/>
  <c r="L103"/>
  <c r="O102"/>
  <c r="M102"/>
  <c r="L102"/>
  <c r="O98"/>
  <c r="M98"/>
  <c r="L98"/>
  <c r="P98" s="1"/>
  <c r="O97"/>
  <c r="M97"/>
  <c r="L97"/>
  <c r="P97" s="1"/>
  <c r="P96" s="1"/>
  <c r="O96"/>
  <c r="M96"/>
  <c r="L96"/>
  <c r="O95"/>
  <c r="M95"/>
  <c r="L95"/>
  <c r="O94"/>
  <c r="M94"/>
  <c r="L94"/>
  <c r="O93"/>
  <c r="O92" s="1"/>
  <c r="M93"/>
  <c r="L93"/>
  <c r="L92" s="1"/>
  <c r="M92"/>
  <c r="M91"/>
  <c r="O89"/>
  <c r="M89"/>
  <c r="L89"/>
  <c r="M88"/>
  <c r="L88"/>
  <c r="L87" s="1"/>
  <c r="O88"/>
  <c r="O86"/>
  <c r="M86"/>
  <c r="O85"/>
  <c r="M85"/>
  <c r="L85"/>
  <c r="P85" s="1"/>
  <c r="O84"/>
  <c r="M84"/>
  <c r="L84"/>
  <c r="P84" s="1"/>
  <c r="O83"/>
  <c r="O80"/>
  <c r="M80"/>
  <c r="L80"/>
  <c r="O79"/>
  <c r="M79"/>
  <c r="L79"/>
  <c r="L78" s="1"/>
  <c r="O78"/>
  <c r="O77"/>
  <c r="M77"/>
  <c r="L77"/>
  <c r="O76"/>
  <c r="M76"/>
  <c r="L76"/>
  <c r="O75"/>
  <c r="M75"/>
  <c r="M74" s="1"/>
  <c r="L75"/>
  <c r="O71"/>
  <c r="M71"/>
  <c r="L71"/>
  <c r="O70"/>
  <c r="M70"/>
  <c r="L70"/>
  <c r="O69"/>
  <c r="M69"/>
  <c r="L69"/>
  <c r="O68"/>
  <c r="M68"/>
  <c r="L68"/>
  <c r="O67"/>
  <c r="M67"/>
  <c r="L67"/>
  <c r="O66"/>
  <c r="O65" s="1"/>
  <c r="L66"/>
  <c r="M66"/>
  <c r="O62"/>
  <c r="M62"/>
  <c r="L62"/>
  <c r="O61"/>
  <c r="M61"/>
  <c r="M60" s="1"/>
  <c r="L61"/>
  <c r="O60"/>
  <c r="N60"/>
  <c r="O59"/>
  <c r="M59"/>
  <c r="P59" s="1"/>
  <c r="L59"/>
  <c r="M58"/>
  <c r="L58"/>
  <c r="O58"/>
  <c r="O57"/>
  <c r="N57"/>
  <c r="L57"/>
  <c r="L56" s="1"/>
  <c r="M57"/>
  <c r="M56" s="1"/>
  <c r="M55" s="1"/>
  <c r="N56"/>
  <c r="N55"/>
  <c r="O53"/>
  <c r="M53"/>
  <c r="L53"/>
  <c r="O52"/>
  <c r="O51" s="1"/>
  <c r="M52"/>
  <c r="L52"/>
  <c r="L51" s="1"/>
  <c r="M51"/>
  <c r="O50"/>
  <c r="M50"/>
  <c r="L50"/>
  <c r="O49"/>
  <c r="M49"/>
  <c r="L49"/>
  <c r="O48"/>
  <c r="O47" s="1"/>
  <c r="M48"/>
  <c r="L48"/>
  <c r="M47"/>
  <c r="L47"/>
  <c r="M46"/>
  <c r="O44"/>
  <c r="M44"/>
  <c r="L44"/>
  <c r="O43"/>
  <c r="M43"/>
  <c r="M42" s="1"/>
  <c r="L43"/>
  <c r="N42"/>
  <c r="O41"/>
  <c r="M41"/>
  <c r="L41"/>
  <c r="O40"/>
  <c r="M40"/>
  <c r="L40"/>
  <c r="P40" s="1"/>
  <c r="O39"/>
  <c r="N39"/>
  <c r="N38" s="1"/>
  <c r="N37" s="1"/>
  <c r="L39"/>
  <c r="O35"/>
  <c r="M35"/>
  <c r="L35"/>
  <c r="O34"/>
  <c r="L34"/>
  <c r="M34"/>
  <c r="M33" s="1"/>
  <c r="O32"/>
  <c r="M32"/>
  <c r="L32"/>
  <c r="O31"/>
  <c r="M31"/>
  <c r="L31"/>
  <c r="O30"/>
  <c r="M30"/>
  <c r="L30"/>
  <c r="O29"/>
  <c r="M29"/>
  <c r="L29"/>
  <c r="O26"/>
  <c r="M26"/>
  <c r="L26"/>
  <c r="O25"/>
  <c r="M25"/>
  <c r="L25"/>
  <c r="M24"/>
  <c r="O23"/>
  <c r="M23"/>
  <c r="L23"/>
  <c r="O22"/>
  <c r="M22"/>
  <c r="L22"/>
  <c r="O21"/>
  <c r="M21"/>
  <c r="L21"/>
  <c r="J17"/>
  <c r="I17"/>
  <c r="H17"/>
  <c r="G17"/>
  <c r="E17"/>
  <c r="O17" s="1"/>
  <c r="D17"/>
  <c r="N17" s="1"/>
  <c r="C17"/>
  <c r="M17" s="1"/>
  <c r="B17"/>
  <c r="L17" s="1"/>
  <c r="J16"/>
  <c r="I16"/>
  <c r="I15" s="1"/>
  <c r="H16"/>
  <c r="G16"/>
  <c r="G15" s="1"/>
  <c r="E16"/>
  <c r="D16"/>
  <c r="N16" s="1"/>
  <c r="N15" s="1"/>
  <c r="C16"/>
  <c r="B16"/>
  <c r="L16" s="1"/>
  <c r="J15"/>
  <c r="J14"/>
  <c r="I14"/>
  <c r="G14"/>
  <c r="E14"/>
  <c r="D14"/>
  <c r="C14"/>
  <c r="B14"/>
  <c r="L14" s="1"/>
  <c r="J13"/>
  <c r="I13"/>
  <c r="H13"/>
  <c r="G13"/>
  <c r="E13"/>
  <c r="O13" s="1"/>
  <c r="D13"/>
  <c r="N13" s="1"/>
  <c r="C13"/>
  <c r="M13" s="1"/>
  <c r="B13"/>
  <c r="L13" s="1"/>
  <c r="J12"/>
  <c r="I12"/>
  <c r="I11" s="1"/>
  <c r="I10" s="1"/>
  <c r="G12"/>
  <c r="G11" s="1"/>
  <c r="G10" s="1"/>
  <c r="E12"/>
  <c r="D12"/>
  <c r="B12"/>
  <c r="J11"/>
  <c r="J10" s="1"/>
  <c r="D11"/>
  <c r="O71" i="9"/>
  <c r="M71"/>
  <c r="L71"/>
  <c r="O70"/>
  <c r="M70"/>
  <c r="L70"/>
  <c r="O69"/>
  <c r="M69"/>
  <c r="L69"/>
  <c r="O68"/>
  <c r="M68"/>
  <c r="L68"/>
  <c r="P68" s="1"/>
  <c r="O67"/>
  <c r="M67"/>
  <c r="M66"/>
  <c r="O66"/>
  <c r="O65" s="1"/>
  <c r="O64" s="1"/>
  <c r="L66"/>
  <c r="M65"/>
  <c r="M64" s="1"/>
  <c r="O62"/>
  <c r="M62"/>
  <c r="L62"/>
  <c r="O61"/>
  <c r="O60" s="1"/>
  <c r="L61"/>
  <c r="M61"/>
  <c r="M60" s="1"/>
  <c r="O59"/>
  <c r="M59"/>
  <c r="L59"/>
  <c r="O58"/>
  <c r="M58"/>
  <c r="L58"/>
  <c r="O57"/>
  <c r="M57"/>
  <c r="L57"/>
  <c r="M56"/>
  <c r="O53"/>
  <c r="M53"/>
  <c r="M51" s="1"/>
  <c r="L53"/>
  <c r="O52"/>
  <c r="O51" s="1"/>
  <c r="M52"/>
  <c r="L52"/>
  <c r="L51" s="1"/>
  <c r="O50"/>
  <c r="M50"/>
  <c r="L50"/>
  <c r="O49"/>
  <c r="M49"/>
  <c r="L49"/>
  <c r="O48"/>
  <c r="O47" s="1"/>
  <c r="M48"/>
  <c r="M47"/>
  <c r="O44"/>
  <c r="M44"/>
  <c r="M42" s="1"/>
  <c r="L44"/>
  <c r="O43"/>
  <c r="O42" s="1"/>
  <c r="M43"/>
  <c r="L43"/>
  <c r="L42" s="1"/>
  <c r="O41"/>
  <c r="M41"/>
  <c r="L41"/>
  <c r="O40"/>
  <c r="M40"/>
  <c r="M38" s="1"/>
  <c r="L40"/>
  <c r="O39"/>
  <c r="O38" s="1"/>
  <c r="O37" s="1"/>
  <c r="M39"/>
  <c r="L39"/>
  <c r="L38" s="1"/>
  <c r="L37" s="1"/>
  <c r="O35"/>
  <c r="M35"/>
  <c r="L35"/>
  <c r="O34"/>
  <c r="M34"/>
  <c r="L34"/>
  <c r="M33"/>
  <c r="O32"/>
  <c r="M32"/>
  <c r="L32"/>
  <c r="O31"/>
  <c r="M31"/>
  <c r="L31"/>
  <c r="O30"/>
  <c r="M30"/>
  <c r="L30"/>
  <c r="M29"/>
  <c r="M28" s="1"/>
  <c r="O26"/>
  <c r="M26"/>
  <c r="L26"/>
  <c r="O25"/>
  <c r="O24" s="1"/>
  <c r="M25"/>
  <c r="L25"/>
  <c r="L24" s="1"/>
  <c r="M24"/>
  <c r="O23"/>
  <c r="M23"/>
  <c r="L23"/>
  <c r="O22"/>
  <c r="M22"/>
  <c r="L22"/>
  <c r="O21"/>
  <c r="O20" s="1"/>
  <c r="O19" s="1"/>
  <c r="M21"/>
  <c r="L21"/>
  <c r="L20" s="1"/>
  <c r="L19" s="1"/>
  <c r="M20"/>
  <c r="M19" s="1"/>
  <c r="J17"/>
  <c r="H17"/>
  <c r="G17"/>
  <c r="E17"/>
  <c r="C17"/>
  <c r="B17"/>
  <c r="J16"/>
  <c r="H16"/>
  <c r="H15" s="1"/>
  <c r="G16"/>
  <c r="E16"/>
  <c r="E15" s="1"/>
  <c r="C16"/>
  <c r="B16"/>
  <c r="B15"/>
  <c r="J14"/>
  <c r="H14"/>
  <c r="G14"/>
  <c r="E14"/>
  <c r="C14"/>
  <c r="B14"/>
  <c r="J13"/>
  <c r="H13"/>
  <c r="E13"/>
  <c r="O13" s="1"/>
  <c r="C13"/>
  <c r="B13"/>
  <c r="H12"/>
  <c r="E12"/>
  <c r="E11" s="1"/>
  <c r="E10" s="1"/>
  <c r="C12"/>
  <c r="B12"/>
  <c r="H11"/>
  <c r="B11"/>
  <c r="B10" s="1"/>
  <c r="O17" i="8"/>
  <c r="M17"/>
  <c r="P17" s="1"/>
  <c r="L17"/>
  <c r="O16"/>
  <c r="O15" s="1"/>
  <c r="M16"/>
  <c r="L16"/>
  <c r="L15" s="1"/>
  <c r="N15"/>
  <c r="N14"/>
  <c r="L14"/>
  <c r="O14"/>
  <c r="M14"/>
  <c r="O13"/>
  <c r="N13"/>
  <c r="M13"/>
  <c r="L13"/>
  <c r="O12"/>
  <c r="N12"/>
  <c r="M12"/>
  <c r="L12"/>
  <c r="O73" i="7"/>
  <c r="M73"/>
  <c r="L73"/>
  <c r="O72"/>
  <c r="O71" s="1"/>
  <c r="M72"/>
  <c r="L72"/>
  <c r="P72" s="1"/>
  <c r="M71"/>
  <c r="O70"/>
  <c r="M70"/>
  <c r="L70"/>
  <c r="O69"/>
  <c r="M69"/>
  <c r="M67" s="1"/>
  <c r="M66" s="1"/>
  <c r="L69"/>
  <c r="O68"/>
  <c r="O67" s="1"/>
  <c r="O66" s="1"/>
  <c r="M68"/>
  <c r="L68"/>
  <c r="L67" s="1"/>
  <c r="O64"/>
  <c r="M64"/>
  <c r="M62" s="1"/>
  <c r="L64"/>
  <c r="O63"/>
  <c r="M63"/>
  <c r="L63"/>
  <c r="O61"/>
  <c r="M61"/>
  <c r="L61"/>
  <c r="O60"/>
  <c r="M60"/>
  <c r="M58" s="1"/>
  <c r="M57" s="1"/>
  <c r="L60"/>
  <c r="O59"/>
  <c r="M59"/>
  <c r="L59"/>
  <c r="L58" s="1"/>
  <c r="O55"/>
  <c r="M55"/>
  <c r="L55"/>
  <c r="O54"/>
  <c r="M54"/>
  <c r="L54"/>
  <c r="M53"/>
  <c r="O52"/>
  <c r="M52"/>
  <c r="L52"/>
  <c r="O51"/>
  <c r="M51"/>
  <c r="L51"/>
  <c r="O50"/>
  <c r="M50"/>
  <c r="L50"/>
  <c r="M49"/>
  <c r="M48" s="1"/>
  <c r="O46"/>
  <c r="M46"/>
  <c r="L46"/>
  <c r="O45"/>
  <c r="O44" s="1"/>
  <c r="M45"/>
  <c r="L45"/>
  <c r="L44" s="1"/>
  <c r="O43"/>
  <c r="M43"/>
  <c r="L43"/>
  <c r="O42"/>
  <c r="M42"/>
  <c r="L42"/>
  <c r="O41"/>
  <c r="O40" s="1"/>
  <c r="O39" s="1"/>
  <c r="M41"/>
  <c r="L41"/>
  <c r="O37"/>
  <c r="M37"/>
  <c r="L37"/>
  <c r="O36"/>
  <c r="O35" s="1"/>
  <c r="M36"/>
  <c r="L36"/>
  <c r="O34"/>
  <c r="M34"/>
  <c r="L34"/>
  <c r="O33"/>
  <c r="M33"/>
  <c r="L33"/>
  <c r="O32"/>
  <c r="O31" s="1"/>
  <c r="M32"/>
  <c r="L32"/>
  <c r="L31"/>
  <c r="O28"/>
  <c r="M28"/>
  <c r="L28"/>
  <c r="L18" s="1"/>
  <c r="O27"/>
  <c r="M27"/>
  <c r="M26" s="1"/>
  <c r="L27"/>
  <c r="O26"/>
  <c r="L26"/>
  <c r="O25"/>
  <c r="M25"/>
  <c r="L25"/>
  <c r="O24"/>
  <c r="L24"/>
  <c r="O23"/>
  <c r="O13" s="1"/>
  <c r="M23"/>
  <c r="O22"/>
  <c r="O21" s="1"/>
  <c r="O20" s="1"/>
  <c r="L22"/>
  <c r="M22"/>
  <c r="O18"/>
  <c r="N18"/>
  <c r="M18"/>
  <c r="J18"/>
  <c r="I18"/>
  <c r="H18"/>
  <c r="G18"/>
  <c r="E18"/>
  <c r="D18"/>
  <c r="C18"/>
  <c r="B18"/>
  <c r="O17"/>
  <c r="O16" s="1"/>
  <c r="N17"/>
  <c r="M17"/>
  <c r="J17"/>
  <c r="I17"/>
  <c r="H17"/>
  <c r="H16" s="1"/>
  <c r="G17"/>
  <c r="E17"/>
  <c r="E16" s="1"/>
  <c r="D17"/>
  <c r="C17"/>
  <c r="B17"/>
  <c r="B16" s="1"/>
  <c r="M16"/>
  <c r="J16"/>
  <c r="G16"/>
  <c r="C16"/>
  <c r="O15"/>
  <c r="N15"/>
  <c r="M15"/>
  <c r="L15"/>
  <c r="J15"/>
  <c r="I15"/>
  <c r="H15"/>
  <c r="G15"/>
  <c r="E15"/>
  <c r="D15"/>
  <c r="C15"/>
  <c r="B15"/>
  <c r="O14"/>
  <c r="N14"/>
  <c r="L14"/>
  <c r="J14"/>
  <c r="I14"/>
  <c r="H14"/>
  <c r="G14"/>
  <c r="K14" s="1"/>
  <c r="E14"/>
  <c r="D14"/>
  <c r="C14"/>
  <c r="B14"/>
  <c r="F14" s="1"/>
  <c r="N13"/>
  <c r="J13"/>
  <c r="I13"/>
  <c r="H13"/>
  <c r="G13"/>
  <c r="E13"/>
  <c r="D13"/>
  <c r="C13"/>
  <c r="B13"/>
  <c r="N12"/>
  <c r="J12"/>
  <c r="I12"/>
  <c r="G12"/>
  <c r="G11" s="1"/>
  <c r="G10" s="1"/>
  <c r="E12"/>
  <c r="D12"/>
  <c r="C12"/>
  <c r="B12"/>
  <c r="J11"/>
  <c r="C11"/>
  <c r="C10" s="1"/>
  <c r="O35" i="6"/>
  <c r="M35"/>
  <c r="L35"/>
  <c r="L34"/>
  <c r="M34"/>
  <c r="L33"/>
  <c r="O32"/>
  <c r="M32"/>
  <c r="L32"/>
  <c r="O31"/>
  <c r="M31"/>
  <c r="L31"/>
  <c r="O30"/>
  <c r="M30"/>
  <c r="L30"/>
  <c r="O29"/>
  <c r="L29"/>
  <c r="L28" s="1"/>
  <c r="O26"/>
  <c r="M26"/>
  <c r="L26"/>
  <c r="P26" s="1"/>
  <c r="O25"/>
  <c r="M25"/>
  <c r="L25"/>
  <c r="O24"/>
  <c r="M24"/>
  <c r="L24"/>
  <c r="O23"/>
  <c r="L23"/>
  <c r="O22"/>
  <c r="M22"/>
  <c r="L22"/>
  <c r="P22" s="1"/>
  <c r="O21"/>
  <c r="N21"/>
  <c r="N20" s="1"/>
  <c r="N19" s="1"/>
  <c r="J17"/>
  <c r="I17"/>
  <c r="H17"/>
  <c r="G17"/>
  <c r="E17"/>
  <c r="D17"/>
  <c r="C17"/>
  <c r="M17" s="1"/>
  <c r="B17"/>
  <c r="L17" s="1"/>
  <c r="J16"/>
  <c r="J15" s="1"/>
  <c r="I16"/>
  <c r="H16"/>
  <c r="G16"/>
  <c r="G15" s="1"/>
  <c r="E16"/>
  <c r="E15" s="1"/>
  <c r="D16"/>
  <c r="C16"/>
  <c r="C15" s="1"/>
  <c r="B16"/>
  <c r="L16" s="1"/>
  <c r="H15"/>
  <c r="D15"/>
  <c r="B15"/>
  <c r="J14"/>
  <c r="I14"/>
  <c r="G14"/>
  <c r="E14"/>
  <c r="D14"/>
  <c r="C14"/>
  <c r="B14"/>
  <c r="L14" s="1"/>
  <c r="J13"/>
  <c r="I13"/>
  <c r="H13"/>
  <c r="E13"/>
  <c r="D13"/>
  <c r="C13"/>
  <c r="B13"/>
  <c r="J12"/>
  <c r="I12"/>
  <c r="G12"/>
  <c r="E12"/>
  <c r="E11" s="1"/>
  <c r="D12"/>
  <c r="D11" s="1"/>
  <c r="D10" s="1"/>
  <c r="C12"/>
  <c r="C11" s="1"/>
  <c r="B12"/>
  <c r="L12" s="1"/>
  <c r="J11"/>
  <c r="J10" s="1"/>
  <c r="O119" i="5"/>
  <c r="M119"/>
  <c r="L119"/>
  <c r="O118"/>
  <c r="M118"/>
  <c r="L118"/>
  <c r="P118" s="1"/>
  <c r="O117"/>
  <c r="M117"/>
  <c r="L117"/>
  <c r="O116"/>
  <c r="M116"/>
  <c r="L116"/>
  <c r="O115"/>
  <c r="M115"/>
  <c r="L115"/>
  <c r="O114"/>
  <c r="O113" s="1"/>
  <c r="M114"/>
  <c r="L114"/>
  <c r="L113" s="1"/>
  <c r="M113"/>
  <c r="M112"/>
  <c r="O110"/>
  <c r="M110"/>
  <c r="L110"/>
  <c r="O109"/>
  <c r="O108" s="1"/>
  <c r="O103" s="1"/>
  <c r="M109"/>
  <c r="L109"/>
  <c r="L108" s="1"/>
  <c r="M108"/>
  <c r="O107"/>
  <c r="M107"/>
  <c r="L107"/>
  <c r="O106"/>
  <c r="M106"/>
  <c r="L106"/>
  <c r="O105"/>
  <c r="M105"/>
  <c r="L105"/>
  <c r="P105" s="1"/>
  <c r="O104"/>
  <c r="M101"/>
  <c r="L101"/>
  <c r="O101"/>
  <c r="M100"/>
  <c r="L100"/>
  <c r="L99" s="1"/>
  <c r="O100"/>
  <c r="O99" s="1"/>
  <c r="M99"/>
  <c r="O98"/>
  <c r="M98"/>
  <c r="L98"/>
  <c r="O97"/>
  <c r="M97"/>
  <c r="L97"/>
  <c r="O96"/>
  <c r="O95" s="1"/>
  <c r="M96"/>
  <c r="L96"/>
  <c r="M95"/>
  <c r="M94" s="1"/>
  <c r="O92"/>
  <c r="M92"/>
  <c r="L92"/>
  <c r="O91"/>
  <c r="M91"/>
  <c r="L91"/>
  <c r="O90"/>
  <c r="M90"/>
  <c r="L90"/>
  <c r="O89"/>
  <c r="M89"/>
  <c r="L89"/>
  <c r="O88"/>
  <c r="M88"/>
  <c r="L88"/>
  <c r="O87"/>
  <c r="M87"/>
  <c r="M86" s="1"/>
  <c r="M85" s="1"/>
  <c r="L87"/>
  <c r="O86"/>
  <c r="O85" s="1"/>
  <c r="O83"/>
  <c r="M83"/>
  <c r="L83"/>
  <c r="O82"/>
  <c r="M82"/>
  <c r="L82"/>
  <c r="P82" s="1"/>
  <c r="O81"/>
  <c r="M81"/>
  <c r="L81"/>
  <c r="O80"/>
  <c r="M80"/>
  <c r="O79"/>
  <c r="M79"/>
  <c r="L79"/>
  <c r="O78"/>
  <c r="M78"/>
  <c r="M77" s="1"/>
  <c r="M76" s="1"/>
  <c r="L78"/>
  <c r="O77"/>
  <c r="O76" s="1"/>
  <c r="O74"/>
  <c r="M74"/>
  <c r="L74"/>
  <c r="O73"/>
  <c r="O72" s="1"/>
  <c r="L73"/>
  <c r="M73"/>
  <c r="M72" s="1"/>
  <c r="O71"/>
  <c r="M71"/>
  <c r="L71"/>
  <c r="O70"/>
  <c r="M70"/>
  <c r="L70"/>
  <c r="O69"/>
  <c r="M69"/>
  <c r="M68" s="1"/>
  <c r="M67" s="1"/>
  <c r="L69"/>
  <c r="O68"/>
  <c r="L68"/>
  <c r="O65"/>
  <c r="M65"/>
  <c r="L65"/>
  <c r="O64"/>
  <c r="M64"/>
  <c r="L64"/>
  <c r="P64" s="1"/>
  <c r="O63"/>
  <c r="M63"/>
  <c r="L63"/>
  <c r="O62"/>
  <c r="M62"/>
  <c r="L62"/>
  <c r="O61"/>
  <c r="M61"/>
  <c r="L61"/>
  <c r="O60"/>
  <c r="M60"/>
  <c r="L60"/>
  <c r="O59"/>
  <c r="M59"/>
  <c r="L59"/>
  <c r="M58"/>
  <c r="O56"/>
  <c r="M56"/>
  <c r="L56"/>
  <c r="O55"/>
  <c r="M55"/>
  <c r="L55"/>
  <c r="O54"/>
  <c r="M54"/>
  <c r="L54"/>
  <c r="O53"/>
  <c r="M53"/>
  <c r="L53"/>
  <c r="O52"/>
  <c r="M52"/>
  <c r="L52"/>
  <c r="O51"/>
  <c r="L51"/>
  <c r="M51"/>
  <c r="M50" s="1"/>
  <c r="M49" s="1"/>
  <c r="O50"/>
  <c r="O49" s="1"/>
  <c r="O47"/>
  <c r="M47"/>
  <c r="L47"/>
  <c r="P47" s="1"/>
  <c r="L46"/>
  <c r="L45" s="1"/>
  <c r="O46"/>
  <c r="O45" s="1"/>
  <c r="M46"/>
  <c r="M45" s="1"/>
  <c r="O44"/>
  <c r="M44"/>
  <c r="L44"/>
  <c r="P44" s="1"/>
  <c r="O43"/>
  <c r="M43"/>
  <c r="L43"/>
  <c r="O42"/>
  <c r="M42"/>
  <c r="O41"/>
  <c r="M41"/>
  <c r="L41"/>
  <c r="O37"/>
  <c r="M37"/>
  <c r="L37"/>
  <c r="O36"/>
  <c r="M36"/>
  <c r="L36"/>
  <c r="O35"/>
  <c r="M35"/>
  <c r="L35"/>
  <c r="O34"/>
  <c r="M34"/>
  <c r="L34"/>
  <c r="O33"/>
  <c r="M33"/>
  <c r="L33"/>
  <c r="O32"/>
  <c r="M32"/>
  <c r="L32"/>
  <c r="O31"/>
  <c r="M31"/>
  <c r="L31"/>
  <c r="O30"/>
  <c r="M30"/>
  <c r="L30"/>
  <c r="O28"/>
  <c r="M28"/>
  <c r="L28"/>
  <c r="O27"/>
  <c r="M27"/>
  <c r="L27"/>
  <c r="O26"/>
  <c r="M26"/>
  <c r="L26"/>
  <c r="O25"/>
  <c r="M25"/>
  <c r="L25"/>
  <c r="O24"/>
  <c r="L24"/>
  <c r="M24"/>
  <c r="O23"/>
  <c r="M23"/>
  <c r="L23"/>
  <c r="P23" s="1"/>
  <c r="O22"/>
  <c r="O21" s="1"/>
  <c r="O20" s="1"/>
  <c r="M22"/>
  <c r="L22"/>
  <c r="H18"/>
  <c r="G18"/>
  <c r="E18"/>
  <c r="C18"/>
  <c r="B18"/>
  <c r="L18" s="1"/>
  <c r="J17"/>
  <c r="G17"/>
  <c r="C17"/>
  <c r="B17"/>
  <c r="J15"/>
  <c r="H15"/>
  <c r="G15"/>
  <c r="F15"/>
  <c r="E15"/>
  <c r="O15" s="1"/>
  <c r="C15"/>
  <c r="B15"/>
  <c r="J14"/>
  <c r="H14"/>
  <c r="G14"/>
  <c r="E14"/>
  <c r="C14"/>
  <c r="B14"/>
  <c r="J13"/>
  <c r="H13"/>
  <c r="G13"/>
  <c r="E13"/>
  <c r="C13"/>
  <c r="B13"/>
  <c r="H12"/>
  <c r="H11" s="1"/>
  <c r="E12"/>
  <c r="C12"/>
  <c r="B12"/>
  <c r="E11"/>
  <c r="D11"/>
  <c r="C11"/>
  <c r="D10"/>
  <c r="O17" i="3"/>
  <c r="M17"/>
  <c r="L17"/>
  <c r="O16"/>
  <c r="O15" s="1"/>
  <c r="M16"/>
  <c r="L16"/>
  <c r="L15" s="1"/>
  <c r="M15"/>
  <c r="O14"/>
  <c r="M14"/>
  <c r="L14"/>
  <c r="O13"/>
  <c r="M13"/>
  <c r="P13" s="1"/>
  <c r="L13"/>
  <c r="O12"/>
  <c r="O11" s="1"/>
  <c r="O10" s="1"/>
  <c r="M12"/>
  <c r="L12"/>
  <c r="L11" s="1"/>
  <c r="L10" s="1"/>
  <c r="M11"/>
  <c r="M10" s="1"/>
  <c r="O17" i="2"/>
  <c r="M17"/>
  <c r="L17"/>
  <c r="O16"/>
  <c r="L16"/>
  <c r="M16"/>
  <c r="O14"/>
  <c r="M14"/>
  <c r="L14"/>
  <c r="O13"/>
  <c r="M13"/>
  <c r="L13"/>
  <c r="O12"/>
  <c r="O11" s="1"/>
  <c r="M12"/>
  <c r="L12"/>
  <c r="L11" s="1"/>
  <c r="M11"/>
  <c r="O62" i="1"/>
  <c r="M62"/>
  <c r="L62"/>
  <c r="O61"/>
  <c r="M61"/>
  <c r="L61"/>
  <c r="P61" s="1"/>
  <c r="O60"/>
  <c r="L60"/>
  <c r="O59"/>
  <c r="M59"/>
  <c r="L59"/>
  <c r="O58"/>
  <c r="M58"/>
  <c r="L58"/>
  <c r="P58" s="1"/>
  <c r="O57"/>
  <c r="M57"/>
  <c r="L57"/>
  <c r="O56"/>
  <c r="O55" s="1"/>
  <c r="M56"/>
  <c r="L56"/>
  <c r="L55" s="1"/>
  <c r="O53"/>
  <c r="M53"/>
  <c r="P53" s="1"/>
  <c r="L53"/>
  <c r="O52"/>
  <c r="O51" s="1"/>
  <c r="M52"/>
  <c r="L52"/>
  <c r="L51"/>
  <c r="O50"/>
  <c r="M50"/>
  <c r="P50" s="1"/>
  <c r="L50"/>
  <c r="O49"/>
  <c r="O47" s="1"/>
  <c r="M49"/>
  <c r="L49"/>
  <c r="L47" s="1"/>
  <c r="L46" s="1"/>
  <c r="O48"/>
  <c r="M48"/>
  <c r="P48" s="1"/>
  <c r="L48"/>
  <c r="M47"/>
  <c r="O44"/>
  <c r="M44"/>
  <c r="L44"/>
  <c r="O43"/>
  <c r="O42" s="1"/>
  <c r="L43"/>
  <c r="M43"/>
  <c r="M42" s="1"/>
  <c r="O41"/>
  <c r="M41"/>
  <c r="L41"/>
  <c r="O40"/>
  <c r="M40"/>
  <c r="L40"/>
  <c r="L38" s="1"/>
  <c r="O39"/>
  <c r="M39"/>
  <c r="L39"/>
  <c r="O38"/>
  <c r="O35"/>
  <c r="M35"/>
  <c r="L35"/>
  <c r="O34"/>
  <c r="O33" s="1"/>
  <c r="L34"/>
  <c r="M34"/>
  <c r="O32"/>
  <c r="M32"/>
  <c r="P32" s="1"/>
  <c r="L32"/>
  <c r="O31"/>
  <c r="M31"/>
  <c r="L31"/>
  <c r="L30"/>
  <c r="O30"/>
  <c r="O29" s="1"/>
  <c r="O28" s="1"/>
  <c r="M30"/>
  <c r="L29"/>
  <c r="O26"/>
  <c r="M26"/>
  <c r="L26"/>
  <c r="O25"/>
  <c r="O24" s="1"/>
  <c r="L25"/>
  <c r="M25"/>
  <c r="M24" s="1"/>
  <c r="O23"/>
  <c r="M23"/>
  <c r="L23"/>
  <c r="O22"/>
  <c r="M22"/>
  <c r="L22"/>
  <c r="O21"/>
  <c r="M21"/>
  <c r="M20" s="1"/>
  <c r="M19" s="1"/>
  <c r="L21"/>
  <c r="O20"/>
  <c r="J17"/>
  <c r="H17"/>
  <c r="G17"/>
  <c r="E17"/>
  <c r="C17"/>
  <c r="B17"/>
  <c r="J16"/>
  <c r="H16"/>
  <c r="G16"/>
  <c r="E16"/>
  <c r="C16"/>
  <c r="B16"/>
  <c r="J15"/>
  <c r="H15"/>
  <c r="G15"/>
  <c r="E15"/>
  <c r="C15"/>
  <c r="B15"/>
  <c r="J14"/>
  <c r="H14"/>
  <c r="G14"/>
  <c r="E14"/>
  <c r="C14"/>
  <c r="B14"/>
  <c r="J13"/>
  <c r="H13"/>
  <c r="G13"/>
  <c r="E13"/>
  <c r="C13"/>
  <c r="B13"/>
  <c r="J12"/>
  <c r="H12"/>
  <c r="G12"/>
  <c r="E12"/>
  <c r="C12"/>
  <c r="B12"/>
  <c r="J11"/>
  <c r="H11"/>
  <c r="H10" s="1"/>
  <c r="G11"/>
  <c r="G10" s="1"/>
  <c r="E11"/>
  <c r="C11"/>
  <c r="C10" s="1"/>
  <c r="B11"/>
  <c r="J10"/>
  <c r="E10"/>
  <c r="B10"/>
  <c r="O10" i="26" l="1"/>
  <c r="M15"/>
  <c r="P17"/>
  <c r="M37" i="9"/>
  <c r="L29"/>
  <c r="L28" s="1"/>
  <c r="O29"/>
  <c r="P31"/>
  <c r="L33"/>
  <c r="O33"/>
  <c r="O30" i="7"/>
  <c r="M40"/>
  <c r="M35"/>
  <c r="L35"/>
  <c r="L30" s="1"/>
  <c r="M44"/>
  <c r="P50"/>
  <c r="O49"/>
  <c r="L53"/>
  <c r="O53"/>
  <c r="M11" i="33"/>
  <c r="P17"/>
  <c r="M11" i="32"/>
  <c r="M10" s="1"/>
  <c r="P14"/>
  <c r="M11" i="30"/>
  <c r="B10" i="29"/>
  <c r="H10"/>
  <c r="O12"/>
  <c r="F13"/>
  <c r="O13"/>
  <c r="F14"/>
  <c r="O14"/>
  <c r="M16"/>
  <c r="G10"/>
  <c r="J10"/>
  <c r="P23"/>
  <c r="M29"/>
  <c r="M28" s="1"/>
  <c r="B15" i="28"/>
  <c r="M20"/>
  <c r="M19" s="1"/>
  <c r="O33"/>
  <c r="P35"/>
  <c r="O56"/>
  <c r="O12"/>
  <c r="O28"/>
  <c r="L10" i="27"/>
  <c r="P12"/>
  <c r="P17"/>
  <c r="M10" i="26"/>
  <c r="P16"/>
  <c r="P15" s="1"/>
  <c r="M57" i="25"/>
  <c r="M66"/>
  <c r="O75"/>
  <c r="L38"/>
  <c r="P32"/>
  <c r="P40"/>
  <c r="L43"/>
  <c r="P45"/>
  <c r="P54"/>
  <c r="P53" s="1"/>
  <c r="P60"/>
  <c r="P63"/>
  <c r="P62" s="1"/>
  <c r="P80"/>
  <c r="M84"/>
  <c r="P97"/>
  <c r="P126"/>
  <c r="P125" s="1"/>
  <c r="M147"/>
  <c r="M156"/>
  <c r="P160"/>
  <c r="P171"/>
  <c r="P177"/>
  <c r="P213"/>
  <c r="P251"/>
  <c r="P297"/>
  <c r="P43"/>
  <c r="P78"/>
  <c r="L80"/>
  <c r="P82"/>
  <c r="P96"/>
  <c r="P94" s="1"/>
  <c r="P132"/>
  <c r="O139"/>
  <c r="O138" s="1"/>
  <c r="P151"/>
  <c r="P226"/>
  <c r="P224" s="1"/>
  <c r="P231"/>
  <c r="L242"/>
  <c r="P253"/>
  <c r="P294"/>
  <c r="P298"/>
  <c r="P322"/>
  <c r="P22" i="24"/>
  <c r="M55"/>
  <c r="P39"/>
  <c r="P61"/>
  <c r="P60" s="1"/>
  <c r="L73"/>
  <c r="P25" i="23"/>
  <c r="L24"/>
  <c r="O56"/>
  <c r="O55" s="1"/>
  <c r="P59"/>
  <c r="L60"/>
  <c r="O60"/>
  <c r="B11"/>
  <c r="B10" s="1"/>
  <c r="M20"/>
  <c r="P43"/>
  <c r="M56"/>
  <c r="M55" s="1"/>
  <c r="L19"/>
  <c r="M73"/>
  <c r="P67"/>
  <c r="P13"/>
  <c r="K13"/>
  <c r="P17"/>
  <c r="K17"/>
  <c r="P22"/>
  <c r="M24"/>
  <c r="M19" s="1"/>
  <c r="M42"/>
  <c r="M37" s="1"/>
  <c r="P49"/>
  <c r="P53"/>
  <c r="M67" i="22"/>
  <c r="P43"/>
  <c r="M59"/>
  <c r="M58" s="1"/>
  <c r="P69"/>
  <c r="P73"/>
  <c r="P72" s="1"/>
  <c r="B10"/>
  <c r="H10"/>
  <c r="M17"/>
  <c r="P79"/>
  <c r="P37" i="21"/>
  <c r="P46"/>
  <c r="P60"/>
  <c r="M62"/>
  <c r="P35"/>
  <c r="M57"/>
  <c r="O19" i="20"/>
  <c r="P31"/>
  <c r="P23"/>
  <c r="P32"/>
  <c r="P43"/>
  <c r="P42" s="1"/>
  <c r="F13" i="12"/>
  <c r="K13"/>
  <c r="P24"/>
  <c r="P34"/>
  <c r="E10" i="19"/>
  <c r="O17"/>
  <c r="O16" s="1"/>
  <c r="L20"/>
  <c r="O20"/>
  <c r="M53"/>
  <c r="O14"/>
  <c r="L44"/>
  <c r="L39" s="1"/>
  <c r="M48"/>
  <c r="P63"/>
  <c r="P62" s="1"/>
  <c r="C10" i="18"/>
  <c r="M31"/>
  <c r="M30" s="1"/>
  <c r="M84"/>
  <c r="P97"/>
  <c r="P99"/>
  <c r="P98" s="1"/>
  <c r="M130"/>
  <c r="M129" s="1"/>
  <c r="P145"/>
  <c r="P161"/>
  <c r="O167"/>
  <c r="O166" s="1"/>
  <c r="O93"/>
  <c r="M102"/>
  <c r="M107"/>
  <c r="P149"/>
  <c r="L162"/>
  <c r="M175"/>
  <c r="P14" i="17"/>
  <c r="M55" i="16"/>
  <c r="L19"/>
  <c r="O12"/>
  <c r="L14"/>
  <c r="O101"/>
  <c r="M20"/>
  <c r="O51"/>
  <c r="O46" s="1"/>
  <c r="P59"/>
  <c r="M66" i="15"/>
  <c r="M20"/>
  <c r="M75"/>
  <c r="P97"/>
  <c r="P78"/>
  <c r="M66" i="14"/>
  <c r="P27"/>
  <c r="P33"/>
  <c r="P61"/>
  <c r="P15" s="1"/>
  <c r="O67"/>
  <c r="P59"/>
  <c r="F12" i="13"/>
  <c r="O21"/>
  <c r="O20" s="1"/>
  <c r="P37"/>
  <c r="P46"/>
  <c r="O67"/>
  <c r="P81"/>
  <c r="P80" s="1"/>
  <c r="O20" i="12"/>
  <c r="O17"/>
  <c r="O16" s="1"/>
  <c r="L21"/>
  <c r="P23"/>
  <c r="P28"/>
  <c r="P21"/>
  <c r="P45"/>
  <c r="P44" s="1"/>
  <c r="L46" i="11"/>
  <c r="P43"/>
  <c r="P30"/>
  <c r="P32"/>
  <c r="P34"/>
  <c r="P33" s="1"/>
  <c r="O33" i="10"/>
  <c r="L33"/>
  <c r="L28" s="1"/>
  <c r="L105"/>
  <c r="H10" i="9"/>
  <c r="O46"/>
  <c r="M46"/>
  <c r="M14"/>
  <c r="K14"/>
  <c r="P30"/>
  <c r="P49"/>
  <c r="O56"/>
  <c r="O55" s="1"/>
  <c r="P62"/>
  <c r="J10" i="7"/>
  <c r="M39"/>
  <c r="P18"/>
  <c r="P32"/>
  <c r="O58"/>
  <c r="L62"/>
  <c r="L57" s="1"/>
  <c r="O62"/>
  <c r="P25" i="6"/>
  <c r="P24" s="1"/>
  <c r="O40" i="5"/>
  <c r="M104"/>
  <c r="M103" s="1"/>
  <c r="P51"/>
  <c r="L58"/>
  <c r="O58"/>
  <c r="P65"/>
  <c r="P63" s="1"/>
  <c r="P70"/>
  <c r="P74"/>
  <c r="P83"/>
  <c r="P81" s="1"/>
  <c r="P107"/>
  <c r="L112"/>
  <c r="O112"/>
  <c r="O15" i="2"/>
  <c r="K14" i="1"/>
  <c r="P22"/>
  <c r="P26"/>
  <c r="P34"/>
  <c r="O46"/>
  <c r="P40"/>
  <c r="P44"/>
  <c r="P57"/>
  <c r="H12" i="18"/>
  <c r="H14"/>
  <c r="P14" i="33"/>
  <c r="P17" i="32"/>
  <c r="P13" i="31"/>
  <c r="O10"/>
  <c r="P12"/>
  <c r="P11" s="1"/>
  <c r="P14"/>
  <c r="P17" i="30"/>
  <c r="P14"/>
  <c r="P12"/>
  <c r="O10"/>
  <c r="C15" i="29"/>
  <c r="C10" s="1"/>
  <c r="L16"/>
  <c r="P25"/>
  <c r="P26"/>
  <c r="P31"/>
  <c r="P21"/>
  <c r="P20" s="1"/>
  <c r="M20"/>
  <c r="M19" s="1"/>
  <c r="Q19"/>
  <c r="K14"/>
  <c r="K11" s="1"/>
  <c r="O16"/>
  <c r="K16"/>
  <c r="M17"/>
  <c r="P17" s="1"/>
  <c r="H12" i="28"/>
  <c r="H11" s="1"/>
  <c r="F14"/>
  <c r="O14"/>
  <c r="O11" s="1"/>
  <c r="E16"/>
  <c r="F16" s="1"/>
  <c r="J16"/>
  <c r="M17"/>
  <c r="K17"/>
  <c r="O20"/>
  <c r="P40"/>
  <c r="P49"/>
  <c r="L51"/>
  <c r="L24"/>
  <c r="P32"/>
  <c r="O38"/>
  <c r="O37" s="1"/>
  <c r="P44"/>
  <c r="F12"/>
  <c r="J15"/>
  <c r="L60"/>
  <c r="B11"/>
  <c r="B10" s="1"/>
  <c r="E11"/>
  <c r="M12"/>
  <c r="G12"/>
  <c r="F13"/>
  <c r="O13"/>
  <c r="M14"/>
  <c r="K14"/>
  <c r="F17"/>
  <c r="O17"/>
  <c r="P22"/>
  <c r="P23"/>
  <c r="O24"/>
  <c r="O19" s="1"/>
  <c r="P26"/>
  <c r="M29"/>
  <c r="P31"/>
  <c r="M33"/>
  <c r="P34"/>
  <c r="P33" s="1"/>
  <c r="P41"/>
  <c r="L43"/>
  <c r="O47"/>
  <c r="O51"/>
  <c r="P58"/>
  <c r="P59"/>
  <c r="O60"/>
  <c r="O55" s="1"/>
  <c r="P62"/>
  <c r="J10"/>
  <c r="P14" i="27"/>
  <c r="Q10"/>
  <c r="P13"/>
  <c r="P11" s="1"/>
  <c r="M15"/>
  <c r="M10" s="1"/>
  <c r="P16"/>
  <c r="Q10" i="26"/>
  <c r="P13"/>
  <c r="P14"/>
  <c r="Q20" i="25"/>
  <c r="P22"/>
  <c r="P115"/>
  <c r="P186"/>
  <c r="P216"/>
  <c r="O228"/>
  <c r="P235"/>
  <c r="P239"/>
  <c r="Q264"/>
  <c r="P270"/>
  <c r="P279"/>
  <c r="P280"/>
  <c r="P285"/>
  <c r="P286"/>
  <c r="P288"/>
  <c r="P307"/>
  <c r="P305" s="1"/>
  <c r="C11"/>
  <c r="E11"/>
  <c r="E10" s="1"/>
  <c r="K14"/>
  <c r="M48"/>
  <c r="M47" s="1"/>
  <c r="P52"/>
  <c r="P15" s="1"/>
  <c r="P88"/>
  <c r="P90"/>
  <c r="P106"/>
  <c r="P208"/>
  <c r="P206" s="1"/>
  <c r="P250"/>
  <c r="P259"/>
  <c r="P304"/>
  <c r="Q309"/>
  <c r="P311"/>
  <c r="P330"/>
  <c r="K12"/>
  <c r="P23"/>
  <c r="P31"/>
  <c r="P70"/>
  <c r="P72"/>
  <c r="P71" s="1"/>
  <c r="P79"/>
  <c r="P87"/>
  <c r="P104"/>
  <c r="P109"/>
  <c r="P117"/>
  <c r="P116" s="1"/>
  <c r="P118"/>
  <c r="P122"/>
  <c r="P123"/>
  <c r="P124"/>
  <c r="Q129"/>
  <c r="P133"/>
  <c r="P135"/>
  <c r="P136"/>
  <c r="P141"/>
  <c r="P145"/>
  <c r="P143" s="1"/>
  <c r="P150"/>
  <c r="O157"/>
  <c r="O156" s="1"/>
  <c r="Q165"/>
  <c r="Q183"/>
  <c r="P190"/>
  <c r="P212"/>
  <c r="P214"/>
  <c r="P217"/>
  <c r="M220"/>
  <c r="M219" s="1"/>
  <c r="P223"/>
  <c r="P244"/>
  <c r="P242" s="1"/>
  <c r="P248"/>
  <c r="P249"/>
  <c r="P261"/>
  <c r="P262"/>
  <c r="P266"/>
  <c r="P268"/>
  <c r="P271"/>
  <c r="P284"/>
  <c r="P293"/>
  <c r="P295"/>
  <c r="P320"/>
  <c r="O318"/>
  <c r="K13"/>
  <c r="C16"/>
  <c r="C10" s="1"/>
  <c r="K17"/>
  <c r="K16" s="1"/>
  <c r="P21"/>
  <c r="P26"/>
  <c r="P27"/>
  <c r="P33"/>
  <c r="P35"/>
  <c r="P36"/>
  <c r="P41"/>
  <c r="P42"/>
  <c r="P51"/>
  <c r="P59"/>
  <c r="P61"/>
  <c r="P91"/>
  <c r="P89" s="1"/>
  <c r="P99"/>
  <c r="P100"/>
  <c r="P107"/>
  <c r="P153"/>
  <c r="P159"/>
  <c r="P162"/>
  <c r="P161" s="1"/>
  <c r="P163"/>
  <c r="P169"/>
  <c r="P172"/>
  <c r="P170" s="1"/>
  <c r="P189"/>
  <c r="P188" s="1"/>
  <c r="P196"/>
  <c r="P198"/>
  <c r="P197" s="1"/>
  <c r="P199"/>
  <c r="Q201"/>
  <c r="P204"/>
  <c r="P215"/>
  <c r="P232"/>
  <c r="Q237"/>
  <c r="L238"/>
  <c r="L237" s="1"/>
  <c r="M238"/>
  <c r="M237" s="1"/>
  <c r="P257"/>
  <c r="P258"/>
  <c r="P269"/>
  <c r="P287"/>
  <c r="P289"/>
  <c r="P303"/>
  <c r="P312"/>
  <c r="P313"/>
  <c r="M318"/>
  <c r="P329"/>
  <c r="P331"/>
  <c r="P333"/>
  <c r="P334"/>
  <c r="Q37" i="24"/>
  <c r="B11"/>
  <c r="E11"/>
  <c r="E10" s="1"/>
  <c r="M12"/>
  <c r="G12"/>
  <c r="L12" s="1"/>
  <c r="L13"/>
  <c r="O13"/>
  <c r="O11" s="1"/>
  <c r="M14"/>
  <c r="G14"/>
  <c r="K14" s="1"/>
  <c r="B15"/>
  <c r="G15"/>
  <c r="P31"/>
  <c r="P32"/>
  <c r="P34"/>
  <c r="P33" s="1"/>
  <c r="P35"/>
  <c r="P43"/>
  <c r="P42" s="1"/>
  <c r="P44"/>
  <c r="M47"/>
  <c r="M46" s="1"/>
  <c r="P52"/>
  <c r="P67"/>
  <c r="P70"/>
  <c r="P71"/>
  <c r="P77"/>
  <c r="M78"/>
  <c r="P80"/>
  <c r="K13"/>
  <c r="C15"/>
  <c r="C10" s="1"/>
  <c r="L16"/>
  <c r="O16"/>
  <c r="O15" s="1"/>
  <c r="M17"/>
  <c r="M15" s="1"/>
  <c r="K17"/>
  <c r="P25"/>
  <c r="P24" s="1"/>
  <c r="P26"/>
  <c r="P53"/>
  <c r="P51" s="1"/>
  <c r="L57"/>
  <c r="P59"/>
  <c r="M65"/>
  <c r="M64" s="1"/>
  <c r="P66"/>
  <c r="P68"/>
  <c r="M74"/>
  <c r="M73" s="1"/>
  <c r="P75"/>
  <c r="P76"/>
  <c r="K15"/>
  <c r="Q19"/>
  <c r="Q28"/>
  <c r="P30"/>
  <c r="P40"/>
  <c r="P41"/>
  <c r="C11" i="23"/>
  <c r="C10" s="1"/>
  <c r="K16"/>
  <c r="K15" s="1"/>
  <c r="P61"/>
  <c r="Q19"/>
  <c r="P52"/>
  <c r="P51" s="1"/>
  <c r="P58"/>
  <c r="O64"/>
  <c r="P71"/>
  <c r="P76"/>
  <c r="P79"/>
  <c r="K12"/>
  <c r="K14"/>
  <c r="P21"/>
  <c r="P23"/>
  <c r="P26"/>
  <c r="P39"/>
  <c r="P40"/>
  <c r="Q37"/>
  <c r="P44"/>
  <c r="M48"/>
  <c r="M47" s="1"/>
  <c r="M46" s="1"/>
  <c r="P50"/>
  <c r="P62"/>
  <c r="P60" s="1"/>
  <c r="P70"/>
  <c r="P77"/>
  <c r="P80"/>
  <c r="M14" i="22"/>
  <c r="K14"/>
  <c r="P33"/>
  <c r="P37"/>
  <c r="P47"/>
  <c r="P45" s="1"/>
  <c r="P39" s="1"/>
  <c r="P65"/>
  <c r="P42"/>
  <c r="M40"/>
  <c r="M39" s="1"/>
  <c r="Q20"/>
  <c r="M35"/>
  <c r="P36"/>
  <c r="P35" s="1"/>
  <c r="P44"/>
  <c r="P71"/>
  <c r="P68" s="1"/>
  <c r="P67" s="1"/>
  <c r="C11"/>
  <c r="G11"/>
  <c r="G10" s="1"/>
  <c r="L12"/>
  <c r="O12"/>
  <c r="M13"/>
  <c r="M11" s="1"/>
  <c r="K13"/>
  <c r="K11" s="1"/>
  <c r="L14"/>
  <c r="O14"/>
  <c r="C16"/>
  <c r="L17"/>
  <c r="O17"/>
  <c r="K17"/>
  <c r="M18"/>
  <c r="M16" s="1"/>
  <c r="K18"/>
  <c r="P24"/>
  <c r="P25"/>
  <c r="P27"/>
  <c r="P28"/>
  <c r="M31"/>
  <c r="M30" s="1"/>
  <c r="P32"/>
  <c r="P34"/>
  <c r="P40"/>
  <c r="P51"/>
  <c r="P52"/>
  <c r="P53"/>
  <c r="P55"/>
  <c r="P56"/>
  <c r="P61"/>
  <c r="P59" s="1"/>
  <c r="P64"/>
  <c r="P78"/>
  <c r="P80"/>
  <c r="P83"/>
  <c r="P81" s="1"/>
  <c r="C11" i="21"/>
  <c r="C10" s="1"/>
  <c r="E11"/>
  <c r="E10" s="1"/>
  <c r="N11"/>
  <c r="G12"/>
  <c r="P14"/>
  <c r="K14"/>
  <c r="B16"/>
  <c r="B10" s="1"/>
  <c r="D16"/>
  <c r="D10" s="1"/>
  <c r="G16"/>
  <c r="M16"/>
  <c r="J17"/>
  <c r="J16" s="1"/>
  <c r="J10" s="1"/>
  <c r="P23"/>
  <c r="P42"/>
  <c r="P43"/>
  <c r="P55"/>
  <c r="L67"/>
  <c r="L66" s="1"/>
  <c r="P70"/>
  <c r="P72"/>
  <c r="P18"/>
  <c r="K18"/>
  <c r="P22"/>
  <c r="P25"/>
  <c r="P15" s="1"/>
  <c r="P34"/>
  <c r="P45"/>
  <c r="P44" s="1"/>
  <c r="P51"/>
  <c r="P54"/>
  <c r="M21"/>
  <c r="P24"/>
  <c r="P33"/>
  <c r="P41"/>
  <c r="P52"/>
  <c r="P64"/>
  <c r="P62" s="1"/>
  <c r="P69"/>
  <c r="P67" s="1"/>
  <c r="P66" s="1"/>
  <c r="P73"/>
  <c r="P71" s="1"/>
  <c r="Q28" i="20"/>
  <c r="K16"/>
  <c r="P21"/>
  <c r="P41"/>
  <c r="P25"/>
  <c r="B11"/>
  <c r="D11"/>
  <c r="G11"/>
  <c r="G10" s="1"/>
  <c r="K13"/>
  <c r="K11" s="1"/>
  <c r="B15"/>
  <c r="D15"/>
  <c r="K17"/>
  <c r="Q19"/>
  <c r="P26"/>
  <c r="P30"/>
  <c r="P34"/>
  <c r="P35"/>
  <c r="P39"/>
  <c r="P40"/>
  <c r="P52" i="19"/>
  <c r="B11"/>
  <c r="B10" s="1"/>
  <c r="D11"/>
  <c r="D10" s="1"/>
  <c r="G11"/>
  <c r="G10" s="1"/>
  <c r="K13"/>
  <c r="F14"/>
  <c r="K14"/>
  <c r="L15"/>
  <c r="K17"/>
  <c r="F18"/>
  <c r="K18"/>
  <c r="P22"/>
  <c r="P25"/>
  <c r="P27"/>
  <c r="P28"/>
  <c r="P33"/>
  <c r="P34"/>
  <c r="O40"/>
  <c r="O39" s="1"/>
  <c r="Q48"/>
  <c r="P51"/>
  <c r="P54"/>
  <c r="P55"/>
  <c r="P60"/>
  <c r="P61"/>
  <c r="P24"/>
  <c r="Q30"/>
  <c r="P37"/>
  <c r="P35" s="1"/>
  <c r="P41"/>
  <c r="P42"/>
  <c r="M40"/>
  <c r="M39" s="1"/>
  <c r="P46"/>
  <c r="P44" s="1"/>
  <c r="P172" i="18"/>
  <c r="M171"/>
  <c r="F12"/>
  <c r="O138"/>
  <c r="O184"/>
  <c r="J12"/>
  <c r="H13"/>
  <c r="H11" s="1"/>
  <c r="G14"/>
  <c r="K14" s="1"/>
  <c r="J14"/>
  <c r="O14" s="1"/>
  <c r="F17"/>
  <c r="P42"/>
  <c r="P46"/>
  <c r="O49"/>
  <c r="O48" s="1"/>
  <c r="M49"/>
  <c r="M48" s="1"/>
  <c r="O57"/>
  <c r="L57"/>
  <c r="O67"/>
  <c r="P70"/>
  <c r="P73"/>
  <c r="P79"/>
  <c r="P81"/>
  <c r="G12"/>
  <c r="P87"/>
  <c r="O112"/>
  <c r="O111" s="1"/>
  <c r="P115"/>
  <c r="P126"/>
  <c r="P127"/>
  <c r="P151"/>
  <c r="P153"/>
  <c r="P152" s="1"/>
  <c r="P154"/>
  <c r="M167"/>
  <c r="M166" s="1"/>
  <c r="P170"/>
  <c r="M194"/>
  <c r="M193" s="1"/>
  <c r="P197"/>
  <c r="P199"/>
  <c r="P198" s="1"/>
  <c r="P200"/>
  <c r="M41"/>
  <c r="M40" s="1"/>
  <c r="M45"/>
  <c r="M44" s="1"/>
  <c r="P60"/>
  <c r="M58"/>
  <c r="M57" s="1"/>
  <c r="M68"/>
  <c r="M67" s="1"/>
  <c r="M66" s="1"/>
  <c r="L69"/>
  <c r="P69" s="1"/>
  <c r="O86"/>
  <c r="O85" s="1"/>
  <c r="O84" s="1"/>
  <c r="M95"/>
  <c r="M94" s="1"/>
  <c r="M93" s="1"/>
  <c r="L114"/>
  <c r="M144"/>
  <c r="O163"/>
  <c r="O162" s="1"/>
  <c r="L177"/>
  <c r="Q175"/>
  <c r="L187"/>
  <c r="P187" s="1"/>
  <c r="L33"/>
  <c r="P33" s="1"/>
  <c r="L51"/>
  <c r="L78"/>
  <c r="P109"/>
  <c r="L107"/>
  <c r="P140"/>
  <c r="L139"/>
  <c r="L196"/>
  <c r="B11"/>
  <c r="E11"/>
  <c r="M12"/>
  <c r="F13"/>
  <c r="O13"/>
  <c r="M14"/>
  <c r="B16"/>
  <c r="E16"/>
  <c r="M17"/>
  <c r="G17"/>
  <c r="J17"/>
  <c r="O17" s="1"/>
  <c r="F18"/>
  <c r="O18"/>
  <c r="H18"/>
  <c r="O21"/>
  <c r="P24"/>
  <c r="P25"/>
  <c r="P15" s="1"/>
  <c r="M26"/>
  <c r="L195"/>
  <c r="P195" s="1"/>
  <c r="L132"/>
  <c r="P132" s="1"/>
  <c r="L150"/>
  <c r="P164"/>
  <c r="M162"/>
  <c r="M156" s="1"/>
  <c r="L169"/>
  <c r="P190"/>
  <c r="M189"/>
  <c r="M184" s="1"/>
  <c r="O30"/>
  <c r="P36"/>
  <c r="P35" s="1"/>
  <c r="O40"/>
  <c r="P43"/>
  <c r="O44"/>
  <c r="P52"/>
  <c r="P54"/>
  <c r="P55"/>
  <c r="P59"/>
  <c r="P61"/>
  <c r="O66"/>
  <c r="P72"/>
  <c r="P71" s="1"/>
  <c r="M76"/>
  <c r="M75" s="1"/>
  <c r="P82"/>
  <c r="P88"/>
  <c r="P90"/>
  <c r="P89" s="1"/>
  <c r="P96"/>
  <c r="P104"/>
  <c r="P106"/>
  <c r="O107"/>
  <c r="P117"/>
  <c r="P118"/>
  <c r="P124"/>
  <c r="L143"/>
  <c r="O129"/>
  <c r="P135"/>
  <c r="P134" s="1"/>
  <c r="P136"/>
  <c r="M139"/>
  <c r="P142"/>
  <c r="M148"/>
  <c r="M147" s="1"/>
  <c r="O157"/>
  <c r="P160"/>
  <c r="P168"/>
  <c r="P173"/>
  <c r="P171" s="1"/>
  <c r="P178"/>
  <c r="P179"/>
  <c r="P181"/>
  <c r="P182"/>
  <c r="P191"/>
  <c r="O10" i="17"/>
  <c r="P18"/>
  <c r="M12"/>
  <c r="M11" s="1"/>
  <c r="M10" s="1"/>
  <c r="P13"/>
  <c r="P12"/>
  <c r="L29" i="16"/>
  <c r="O29"/>
  <c r="O28" s="1"/>
  <c r="L100"/>
  <c r="H12"/>
  <c r="H11" s="1"/>
  <c r="J11"/>
  <c r="D11"/>
  <c r="D10" s="1"/>
  <c r="K13"/>
  <c r="O13"/>
  <c r="F14"/>
  <c r="K14"/>
  <c r="P30"/>
  <c r="P34"/>
  <c r="O17"/>
  <c r="M38"/>
  <c r="M37" s="1"/>
  <c r="L38"/>
  <c r="O38"/>
  <c r="O37" s="1"/>
  <c r="L37"/>
  <c r="L51"/>
  <c r="P61"/>
  <c r="P62"/>
  <c r="P66"/>
  <c r="P67"/>
  <c r="P68"/>
  <c r="P84"/>
  <c r="P85"/>
  <c r="P86"/>
  <c r="P88"/>
  <c r="P93"/>
  <c r="P94"/>
  <c r="P95"/>
  <c r="M101"/>
  <c r="M100" s="1"/>
  <c r="P103"/>
  <c r="P104"/>
  <c r="F13"/>
  <c r="B11"/>
  <c r="F16"/>
  <c r="B15"/>
  <c r="G15"/>
  <c r="O25"/>
  <c r="J16"/>
  <c r="P35"/>
  <c r="L17"/>
  <c r="P44"/>
  <c r="M42"/>
  <c r="G12"/>
  <c r="P33"/>
  <c r="Q64"/>
  <c r="M52"/>
  <c r="M51" s="1"/>
  <c r="H16"/>
  <c r="H15" s="1"/>
  <c r="H10" s="1"/>
  <c r="C15"/>
  <c r="C10" s="1"/>
  <c r="M14"/>
  <c r="M29"/>
  <c r="M28" s="1"/>
  <c r="L28"/>
  <c r="O14"/>
  <c r="O100"/>
  <c r="F12"/>
  <c r="F17"/>
  <c r="K17"/>
  <c r="P22"/>
  <c r="P23"/>
  <c r="P26"/>
  <c r="P31"/>
  <c r="P32"/>
  <c r="P40"/>
  <c r="P43"/>
  <c r="P42" s="1"/>
  <c r="L48"/>
  <c r="P48" s="1"/>
  <c r="P50"/>
  <c r="P52"/>
  <c r="P51" s="1"/>
  <c r="P57"/>
  <c r="P58"/>
  <c r="P70"/>
  <c r="P71"/>
  <c r="P76"/>
  <c r="P77"/>
  <c r="P79"/>
  <c r="P80"/>
  <c r="P89"/>
  <c r="P97"/>
  <c r="P98"/>
  <c r="P102"/>
  <c r="P106"/>
  <c r="P105" s="1"/>
  <c r="L18" i="15"/>
  <c r="O18"/>
  <c r="P36"/>
  <c r="P37"/>
  <c r="P42"/>
  <c r="P59"/>
  <c r="P58" s="1"/>
  <c r="P63"/>
  <c r="P64"/>
  <c r="P68"/>
  <c r="P81"/>
  <c r="P82"/>
  <c r="P86"/>
  <c r="P85" s="1"/>
  <c r="P90"/>
  <c r="P91"/>
  <c r="M99"/>
  <c r="O99"/>
  <c r="O93" s="1"/>
  <c r="L58"/>
  <c r="L57" s="1"/>
  <c r="O58"/>
  <c r="O57" s="1"/>
  <c r="L85"/>
  <c r="L84" s="1"/>
  <c r="O85"/>
  <c r="O84" s="1"/>
  <c r="K15"/>
  <c r="C11"/>
  <c r="C10" s="1"/>
  <c r="G11"/>
  <c r="G10" s="1"/>
  <c r="L12"/>
  <c r="L11" s="1"/>
  <c r="O12"/>
  <c r="M13"/>
  <c r="K13"/>
  <c r="L14"/>
  <c r="O14"/>
  <c r="F15"/>
  <c r="M15"/>
  <c r="L17"/>
  <c r="L16" s="1"/>
  <c r="O17"/>
  <c r="H17"/>
  <c r="H16" s="1"/>
  <c r="H10" s="1"/>
  <c r="M18"/>
  <c r="K18"/>
  <c r="P23"/>
  <c r="P24"/>
  <c r="P25"/>
  <c r="P15" s="1"/>
  <c r="P27"/>
  <c r="P26" s="1"/>
  <c r="P33"/>
  <c r="M40"/>
  <c r="M39" s="1"/>
  <c r="P41"/>
  <c r="P43"/>
  <c r="P50"/>
  <c r="P51"/>
  <c r="P52"/>
  <c r="P54"/>
  <c r="P55"/>
  <c r="P60"/>
  <c r="P61"/>
  <c r="P69"/>
  <c r="P70"/>
  <c r="P72"/>
  <c r="P73"/>
  <c r="P77"/>
  <c r="P76" s="1"/>
  <c r="P87"/>
  <c r="M94"/>
  <c r="P95"/>
  <c r="P100"/>
  <c r="P99" s="1"/>
  <c r="O39"/>
  <c r="Q48"/>
  <c r="M93"/>
  <c r="P69" i="14"/>
  <c r="M14"/>
  <c r="K14"/>
  <c r="P54"/>
  <c r="P52" s="1"/>
  <c r="M76"/>
  <c r="M75" s="1"/>
  <c r="P104"/>
  <c r="P105"/>
  <c r="P106"/>
  <c r="L107"/>
  <c r="L102" s="1"/>
  <c r="L12"/>
  <c r="O12"/>
  <c r="H12"/>
  <c r="M13"/>
  <c r="G13"/>
  <c r="F14"/>
  <c r="O14"/>
  <c r="M15"/>
  <c r="C16"/>
  <c r="C10" s="1"/>
  <c r="G16"/>
  <c r="F17"/>
  <c r="O17"/>
  <c r="M18"/>
  <c r="M16" s="1"/>
  <c r="K18"/>
  <c r="L22"/>
  <c r="P24"/>
  <c r="M25"/>
  <c r="P31"/>
  <c r="Q29"/>
  <c r="P35"/>
  <c r="P36"/>
  <c r="P40"/>
  <c r="Q38"/>
  <c r="P45"/>
  <c r="P60"/>
  <c r="M62"/>
  <c r="M56" s="1"/>
  <c r="P64"/>
  <c r="O66"/>
  <c r="P72"/>
  <c r="P71" s="1"/>
  <c r="P81"/>
  <c r="P82"/>
  <c r="P87"/>
  <c r="P88"/>
  <c r="P90"/>
  <c r="P91"/>
  <c r="P96"/>
  <c r="L98"/>
  <c r="M107"/>
  <c r="M102" s="1"/>
  <c r="M12"/>
  <c r="M11" s="1"/>
  <c r="L13"/>
  <c r="P13" s="1"/>
  <c r="K13"/>
  <c r="K16"/>
  <c r="M20"/>
  <c r="O20"/>
  <c r="P43"/>
  <c r="C11" i="13"/>
  <c r="C10" s="1"/>
  <c r="G12"/>
  <c r="J12"/>
  <c r="J11" s="1"/>
  <c r="J10" s="1"/>
  <c r="G14"/>
  <c r="F17"/>
  <c r="O17"/>
  <c r="H17"/>
  <c r="H16" s="1"/>
  <c r="H10" s="1"/>
  <c r="M18"/>
  <c r="K18"/>
  <c r="P22"/>
  <c r="P24"/>
  <c r="M26"/>
  <c r="M31"/>
  <c r="M30" s="1"/>
  <c r="O48"/>
  <c r="P51"/>
  <c r="P52"/>
  <c r="P68"/>
  <c r="O71"/>
  <c r="O12"/>
  <c r="B11"/>
  <c r="E11"/>
  <c r="E10" s="1"/>
  <c r="M12"/>
  <c r="K12"/>
  <c r="F13"/>
  <c r="O13"/>
  <c r="M14"/>
  <c r="K14"/>
  <c r="B16"/>
  <c r="M17"/>
  <c r="M16" s="1"/>
  <c r="K17"/>
  <c r="K16" s="1"/>
  <c r="F18"/>
  <c r="O18"/>
  <c r="M20"/>
  <c r="P28"/>
  <c r="O39"/>
  <c r="P45"/>
  <c r="P44" s="1"/>
  <c r="P59"/>
  <c r="P61"/>
  <c r="P70"/>
  <c r="M66"/>
  <c r="P73"/>
  <c r="O11"/>
  <c r="O16"/>
  <c r="P25"/>
  <c r="P15" s="1"/>
  <c r="P33"/>
  <c r="O35"/>
  <c r="O30" s="1"/>
  <c r="P42"/>
  <c r="P43"/>
  <c r="L44"/>
  <c r="P60"/>
  <c r="P63"/>
  <c r="P62" s="1"/>
  <c r="O66"/>
  <c r="P77"/>
  <c r="P78"/>
  <c r="P79"/>
  <c r="P43" i="12"/>
  <c r="F17"/>
  <c r="M26"/>
  <c r="O12"/>
  <c r="K12"/>
  <c r="K11" s="1"/>
  <c r="O13"/>
  <c r="O14"/>
  <c r="P14" s="1"/>
  <c r="P33"/>
  <c r="K17"/>
  <c r="K18"/>
  <c r="M20"/>
  <c r="P36"/>
  <c r="P37"/>
  <c r="P41"/>
  <c r="Q46" i="11"/>
  <c r="P21"/>
  <c r="P20" s="1"/>
  <c r="P44"/>
  <c r="P42" s="1"/>
  <c r="B11"/>
  <c r="K13"/>
  <c r="B15"/>
  <c r="P17"/>
  <c r="K17"/>
  <c r="P22"/>
  <c r="P23"/>
  <c r="P50"/>
  <c r="M46"/>
  <c r="K11"/>
  <c r="K15"/>
  <c r="P25"/>
  <c r="P24" s="1"/>
  <c r="P26"/>
  <c r="P40"/>
  <c r="P41"/>
  <c r="P48"/>
  <c r="P47" s="1"/>
  <c r="H15" i="10"/>
  <c r="N12"/>
  <c r="O14"/>
  <c r="O38"/>
  <c r="P41"/>
  <c r="P80"/>
  <c r="P112"/>
  <c r="P113"/>
  <c r="P25"/>
  <c r="P52"/>
  <c r="M83"/>
  <c r="P102"/>
  <c r="P101" s="1"/>
  <c r="P104"/>
  <c r="L12"/>
  <c r="N14"/>
  <c r="D15"/>
  <c r="D10" s="1"/>
  <c r="P53"/>
  <c r="P70"/>
  <c r="P71"/>
  <c r="P75"/>
  <c r="P77"/>
  <c r="M87"/>
  <c r="M82" s="1"/>
  <c r="M101"/>
  <c r="L101"/>
  <c r="L100" s="1"/>
  <c r="O101"/>
  <c r="O100" s="1"/>
  <c r="P107"/>
  <c r="P105" s="1"/>
  <c r="P100" s="1"/>
  <c r="N11"/>
  <c r="N10" s="1"/>
  <c r="O20"/>
  <c r="L24"/>
  <c r="O24"/>
  <c r="P35"/>
  <c r="L42"/>
  <c r="O42"/>
  <c r="O37" s="1"/>
  <c r="L74"/>
  <c r="L73" s="1"/>
  <c r="O74"/>
  <c r="O73" s="1"/>
  <c r="M109"/>
  <c r="M28"/>
  <c r="B11"/>
  <c r="C12"/>
  <c r="E11"/>
  <c r="H12"/>
  <c r="K12" s="1"/>
  <c r="K13"/>
  <c r="H14"/>
  <c r="B15"/>
  <c r="C15"/>
  <c r="E15"/>
  <c r="P17"/>
  <c r="K17"/>
  <c r="P21"/>
  <c r="M20"/>
  <c r="M19" s="1"/>
  <c r="P23"/>
  <c r="P26"/>
  <c r="O28"/>
  <c r="P30"/>
  <c r="P31"/>
  <c r="P32"/>
  <c r="M39"/>
  <c r="M38" s="1"/>
  <c r="M37" s="1"/>
  <c r="L38"/>
  <c r="L37" s="1"/>
  <c r="P44"/>
  <c r="L46"/>
  <c r="O46"/>
  <c r="P48"/>
  <c r="P49"/>
  <c r="P50"/>
  <c r="O56"/>
  <c r="O55" s="1"/>
  <c r="P58"/>
  <c r="P61"/>
  <c r="P62"/>
  <c r="M65"/>
  <c r="M64" s="1"/>
  <c r="O64"/>
  <c r="P67"/>
  <c r="P68"/>
  <c r="P76"/>
  <c r="M78"/>
  <c r="P79"/>
  <c r="P78" s="1"/>
  <c r="P73" s="1"/>
  <c r="L86"/>
  <c r="L83" s="1"/>
  <c r="L82" s="1"/>
  <c r="O87"/>
  <c r="O82" s="1"/>
  <c r="P89"/>
  <c r="L91"/>
  <c r="O91"/>
  <c r="P93"/>
  <c r="P94"/>
  <c r="P95"/>
  <c r="P103"/>
  <c r="M105"/>
  <c r="P106"/>
  <c r="P115"/>
  <c r="P116"/>
  <c r="P57"/>
  <c r="M73"/>
  <c r="P74"/>
  <c r="M100"/>
  <c r="M12" i="9"/>
  <c r="G12"/>
  <c r="J12"/>
  <c r="J11" s="1"/>
  <c r="M16"/>
  <c r="K16"/>
  <c r="J15"/>
  <c r="L17"/>
  <c r="O17"/>
  <c r="P53"/>
  <c r="P70"/>
  <c r="P71"/>
  <c r="Q37"/>
  <c r="M55"/>
  <c r="C11"/>
  <c r="O12"/>
  <c r="M13"/>
  <c r="G13"/>
  <c r="L14"/>
  <c r="O14"/>
  <c r="C15"/>
  <c r="G15"/>
  <c r="L16"/>
  <c r="O16"/>
  <c r="O15" s="1"/>
  <c r="M17"/>
  <c r="K17"/>
  <c r="P21"/>
  <c r="P22"/>
  <c r="P23"/>
  <c r="P25"/>
  <c r="P26"/>
  <c r="P32"/>
  <c r="P34"/>
  <c r="P35"/>
  <c r="P39"/>
  <c r="P40"/>
  <c r="P41"/>
  <c r="P43"/>
  <c r="P42" s="1"/>
  <c r="P44"/>
  <c r="P50"/>
  <c r="P52"/>
  <c r="P58"/>
  <c r="P59"/>
  <c r="L60"/>
  <c r="O11" i="8"/>
  <c r="O10" s="1"/>
  <c r="P13"/>
  <c r="N11"/>
  <c r="N10" s="1"/>
  <c r="M11"/>
  <c r="P16"/>
  <c r="H12" i="7"/>
  <c r="K12" s="1"/>
  <c r="O12"/>
  <c r="O11" s="1"/>
  <c r="O10" s="1"/>
  <c r="F15"/>
  <c r="K15"/>
  <c r="P15"/>
  <c r="L17"/>
  <c r="L16" s="1"/>
  <c r="F18"/>
  <c r="K18"/>
  <c r="M13"/>
  <c r="M31"/>
  <c r="M30" s="1"/>
  <c r="P42"/>
  <c r="L49"/>
  <c r="L48" s="1"/>
  <c r="P51"/>
  <c r="P59"/>
  <c r="L71"/>
  <c r="L66" s="1"/>
  <c r="P52"/>
  <c r="P49" s="1"/>
  <c r="P54"/>
  <c r="P55"/>
  <c r="E11"/>
  <c r="E10" s="1"/>
  <c r="H11"/>
  <c r="H10" s="1"/>
  <c r="F13"/>
  <c r="K13"/>
  <c r="P36"/>
  <c r="Q57"/>
  <c r="P60"/>
  <c r="P69"/>
  <c r="P70"/>
  <c r="B11"/>
  <c r="B10" s="1"/>
  <c r="F12"/>
  <c r="F17"/>
  <c r="K17"/>
  <c r="P22"/>
  <c r="L23"/>
  <c r="P25"/>
  <c r="P27"/>
  <c r="P28"/>
  <c r="P33"/>
  <c r="P68"/>
  <c r="Q30"/>
  <c r="P34"/>
  <c r="P37"/>
  <c r="Q39"/>
  <c r="P43"/>
  <c r="P45"/>
  <c r="P46"/>
  <c r="P61"/>
  <c r="P63"/>
  <c r="P64"/>
  <c r="P73"/>
  <c r="P71" s="1"/>
  <c r="P31" i="6"/>
  <c r="O17"/>
  <c r="P17" s="1"/>
  <c r="C10"/>
  <c r="E10"/>
  <c r="M13"/>
  <c r="O13"/>
  <c r="O14"/>
  <c r="O16"/>
  <c r="K17"/>
  <c r="M21"/>
  <c r="L21"/>
  <c r="P21" s="1"/>
  <c r="O20"/>
  <c r="O19" s="1"/>
  <c r="M29"/>
  <c r="P30"/>
  <c r="P32"/>
  <c r="P35"/>
  <c r="B11"/>
  <c r="B10" s="1"/>
  <c r="M12" i="5"/>
  <c r="G12"/>
  <c r="J12"/>
  <c r="J11" s="1"/>
  <c r="L13"/>
  <c r="O13"/>
  <c r="M14"/>
  <c r="K14"/>
  <c r="B16"/>
  <c r="G16"/>
  <c r="E17"/>
  <c r="E16" s="1"/>
  <c r="E10" s="1"/>
  <c r="H17"/>
  <c r="H16" s="1"/>
  <c r="H10" s="1"/>
  <c r="M18"/>
  <c r="J18"/>
  <c r="J16" s="1"/>
  <c r="P24"/>
  <c r="P27"/>
  <c r="P28"/>
  <c r="P32"/>
  <c r="P33"/>
  <c r="P34"/>
  <c r="P36"/>
  <c r="P37"/>
  <c r="M40"/>
  <c r="P55"/>
  <c r="P56"/>
  <c r="P60"/>
  <c r="P61"/>
  <c r="P97"/>
  <c r="P98"/>
  <c r="P114"/>
  <c r="G11"/>
  <c r="G10" s="1"/>
  <c r="O12"/>
  <c r="M13"/>
  <c r="K13"/>
  <c r="L14"/>
  <c r="O14"/>
  <c r="C16"/>
  <c r="C10" s="1"/>
  <c r="L17"/>
  <c r="K18"/>
  <c r="M21"/>
  <c r="M20" s="1"/>
  <c r="P43"/>
  <c r="M39"/>
  <c r="P53"/>
  <c r="P62"/>
  <c r="O67"/>
  <c r="P79"/>
  <c r="P88"/>
  <c r="P89"/>
  <c r="P91"/>
  <c r="P92"/>
  <c r="O94"/>
  <c r="P109"/>
  <c r="P110"/>
  <c r="P115"/>
  <c r="P116"/>
  <c r="P25"/>
  <c r="Q30"/>
  <c r="P41"/>
  <c r="O39"/>
  <c r="P69"/>
  <c r="P71"/>
  <c r="Q112"/>
  <c r="P119"/>
  <c r="P117" s="1"/>
  <c r="P16" i="3"/>
  <c r="P12"/>
  <c r="P11" s="1"/>
  <c r="P14"/>
  <c r="P17"/>
  <c r="P15" s="1"/>
  <c r="P13" i="2"/>
  <c r="M15"/>
  <c r="M10" s="1"/>
  <c r="O10"/>
  <c r="P17"/>
  <c r="P12"/>
  <c r="P14"/>
  <c r="P16"/>
  <c r="O37" i="1"/>
  <c r="P59"/>
  <c r="P56" s="1"/>
  <c r="P23"/>
  <c r="P31"/>
  <c r="M33"/>
  <c r="P35"/>
  <c r="P33" s="1"/>
  <c r="M38"/>
  <c r="P39"/>
  <c r="P41"/>
  <c r="P49"/>
  <c r="P47" s="1"/>
  <c r="M51"/>
  <c r="M46" s="1"/>
  <c r="P52"/>
  <c r="M60"/>
  <c r="M55" s="1"/>
  <c r="P11" i="33"/>
  <c r="M16"/>
  <c r="M15" s="1"/>
  <c r="M10" s="1"/>
  <c r="P16"/>
  <c r="P15" s="1"/>
  <c r="L15"/>
  <c r="L10" s="1"/>
  <c r="Q10"/>
  <c r="P17" i="17"/>
  <c r="P16" s="1"/>
  <c r="L16"/>
  <c r="L10" s="1"/>
  <c r="P41" i="18"/>
  <c r="P40" s="1"/>
  <c r="L40"/>
  <c r="L39" s="1"/>
  <c r="P68"/>
  <c r="P67" s="1"/>
  <c r="P66" s="1"/>
  <c r="L67"/>
  <c r="L66" s="1"/>
  <c r="P95"/>
  <c r="P94" s="1"/>
  <c r="P93" s="1"/>
  <c r="L94"/>
  <c r="L93" s="1"/>
  <c r="L121"/>
  <c r="L120" s="1"/>
  <c r="P123"/>
  <c r="P150"/>
  <c r="L148"/>
  <c r="L147" s="1"/>
  <c r="P169"/>
  <c r="L167"/>
  <c r="L166" s="1"/>
  <c r="P177"/>
  <c r="P176" s="1"/>
  <c r="L176"/>
  <c r="L175" s="1"/>
  <c r="P196"/>
  <c r="L194"/>
  <c r="L193" s="1"/>
  <c r="Q57"/>
  <c r="P77"/>
  <c r="P108"/>
  <c r="P107" s="1"/>
  <c r="P148"/>
  <c r="P147" s="1"/>
  <c r="P158"/>
  <c r="P163"/>
  <c r="P162" s="1"/>
  <c r="P194"/>
  <c r="P193" s="1"/>
  <c r="P12" i="19"/>
  <c r="L11" i="20"/>
  <c r="P12"/>
  <c r="L15"/>
  <c r="P16"/>
  <c r="P22"/>
  <c r="L20"/>
  <c r="L19" s="1"/>
  <c r="P27" i="21"/>
  <c r="P26" s="1"/>
  <c r="M26"/>
  <c r="P50"/>
  <c r="P49" s="1"/>
  <c r="L49"/>
  <c r="L48" s="1"/>
  <c r="P59"/>
  <c r="P58" s="1"/>
  <c r="L58"/>
  <c r="L57" s="1"/>
  <c r="P43" i="19"/>
  <c r="P40" s="1"/>
  <c r="P39" s="1"/>
  <c r="P20" i="20"/>
  <c r="F11" i="18"/>
  <c r="F16"/>
  <c r="P27"/>
  <c r="P51"/>
  <c r="L49"/>
  <c r="L48" s="1"/>
  <c r="P78"/>
  <c r="L76"/>
  <c r="L75" s="1"/>
  <c r="P114"/>
  <c r="L112"/>
  <c r="L111" s="1"/>
  <c r="P131"/>
  <c r="P130" s="1"/>
  <c r="P129" s="1"/>
  <c r="L130"/>
  <c r="L129" s="1"/>
  <c r="P159"/>
  <c r="L157"/>
  <c r="L156" s="1"/>
  <c r="P17" i="19"/>
  <c r="M21" i="18"/>
  <c r="M20" s="1"/>
  <c r="P23"/>
  <c r="O26"/>
  <c r="O20" s="1"/>
  <c r="P45"/>
  <c r="P44" s="1"/>
  <c r="P50"/>
  <c r="P49" s="1"/>
  <c r="P80"/>
  <c r="O102"/>
  <c r="P113"/>
  <c r="P112" s="1"/>
  <c r="O156"/>
  <c r="P167"/>
  <c r="M11" i="19"/>
  <c r="M10" s="1"/>
  <c r="O11"/>
  <c r="O10" s="1"/>
  <c r="P13"/>
  <c r="P15"/>
  <c r="L16" i="21"/>
  <c r="P32"/>
  <c r="P31" s="1"/>
  <c r="P30" s="1"/>
  <c r="L31"/>
  <c r="L30" s="1"/>
  <c r="L11" i="22"/>
  <c r="P12"/>
  <c r="L16"/>
  <c r="P17"/>
  <c r="M11" i="20"/>
  <c r="O11"/>
  <c r="P13"/>
  <c r="M15"/>
  <c r="O15"/>
  <c r="P17"/>
  <c r="P29"/>
  <c r="P38"/>
  <c r="P37" s="1"/>
  <c r="M11" i="21"/>
  <c r="M10" s="1"/>
  <c r="O11"/>
  <c r="P13"/>
  <c r="N16"/>
  <c r="N10" s="1"/>
  <c r="M20"/>
  <c r="P40"/>
  <c r="P39" s="1"/>
  <c r="O11" i="22"/>
  <c r="P14"/>
  <c r="O16"/>
  <c r="P15"/>
  <c r="P31"/>
  <c r="P30" s="1"/>
  <c r="P63"/>
  <c r="Q76"/>
  <c r="P77"/>
  <c r="P12" i="23"/>
  <c r="L11"/>
  <c r="P16"/>
  <c r="P15" s="1"/>
  <c r="L15"/>
  <c r="L15" i="24"/>
  <c r="P16"/>
  <c r="P48"/>
  <c r="P58"/>
  <c r="L56"/>
  <c r="L55" s="1"/>
  <c r="L13" i="18"/>
  <c r="L14"/>
  <c r="L17"/>
  <c r="L18"/>
  <c r="L22"/>
  <c r="L28"/>
  <c r="P28" s="1"/>
  <c r="L32"/>
  <c r="L86"/>
  <c r="L105"/>
  <c r="O122"/>
  <c r="O121" s="1"/>
  <c r="O120" s="1"/>
  <c r="Q147"/>
  <c r="Q156"/>
  <c r="L186"/>
  <c r="F13" i="19"/>
  <c r="L14"/>
  <c r="P14" s="1"/>
  <c r="F17"/>
  <c r="L18"/>
  <c r="P18" s="1"/>
  <c r="M23"/>
  <c r="L32"/>
  <c r="Q39"/>
  <c r="L50"/>
  <c r="L59"/>
  <c r="F12" i="20"/>
  <c r="F14"/>
  <c r="F16"/>
  <c r="F12" i="21"/>
  <c r="F14"/>
  <c r="F18"/>
  <c r="L21"/>
  <c r="L20" s="1"/>
  <c r="F12" i="22"/>
  <c r="F13"/>
  <c r="F14"/>
  <c r="F17"/>
  <c r="F18"/>
  <c r="L22"/>
  <c r="L23"/>
  <c r="P23" s="1"/>
  <c r="P14" i="23"/>
  <c r="P20"/>
  <c r="P57" i="24"/>
  <c r="P56" s="1"/>
  <c r="P55" s="1"/>
  <c r="P65"/>
  <c r="P74"/>
  <c r="P41" i="23"/>
  <c r="L38"/>
  <c r="L37" s="1"/>
  <c r="P57"/>
  <c r="L56"/>
  <c r="L55" s="1"/>
  <c r="P66"/>
  <c r="L65"/>
  <c r="L64" s="1"/>
  <c r="P75"/>
  <c r="L74"/>
  <c r="L73" s="1"/>
  <c r="F12" i="19"/>
  <c r="F13" i="20"/>
  <c r="F17"/>
  <c r="F13" i="21"/>
  <c r="F17"/>
  <c r="Q49" i="22"/>
  <c r="P29" i="24"/>
  <c r="P28" s="1"/>
  <c r="L11" i="25"/>
  <c r="P12"/>
  <c r="P77"/>
  <c r="P76" s="1"/>
  <c r="P75" s="1"/>
  <c r="L76"/>
  <c r="L75" s="1"/>
  <c r="P105"/>
  <c r="L103"/>
  <c r="L102" s="1"/>
  <c r="P114"/>
  <c r="L112"/>
  <c r="L111" s="1"/>
  <c r="P176"/>
  <c r="P175" s="1"/>
  <c r="P174" s="1"/>
  <c r="L175"/>
  <c r="L174" s="1"/>
  <c r="P203"/>
  <c r="P230"/>
  <c r="P229" s="1"/>
  <c r="L229"/>
  <c r="L228" s="1"/>
  <c r="F13" i="23"/>
  <c r="F17"/>
  <c r="L47"/>
  <c r="L46" s="1"/>
  <c r="M69"/>
  <c r="M64" s="1"/>
  <c r="F12" i="24"/>
  <c r="F13"/>
  <c r="F14"/>
  <c r="F16"/>
  <c r="F17"/>
  <c r="L21"/>
  <c r="L49"/>
  <c r="O79"/>
  <c r="P14" i="25"/>
  <c r="P18"/>
  <c r="P30"/>
  <c r="P103"/>
  <c r="P102" s="1"/>
  <c r="P247"/>
  <c r="P246" s="1"/>
  <c r="P283"/>
  <c r="P282" s="1"/>
  <c r="P319"/>
  <c r="P17"/>
  <c r="L16"/>
  <c r="P49"/>
  <c r="L67"/>
  <c r="L66" s="1"/>
  <c r="P68"/>
  <c r="P67" s="1"/>
  <c r="P66" s="1"/>
  <c r="P131"/>
  <c r="P130" s="1"/>
  <c r="L130"/>
  <c r="L129" s="1"/>
  <c r="P140"/>
  <c r="P139" s="1"/>
  <c r="L139"/>
  <c r="L138" s="1"/>
  <c r="P149"/>
  <c r="P148" s="1"/>
  <c r="L148"/>
  <c r="L147" s="1"/>
  <c r="P158"/>
  <c r="P157" s="1"/>
  <c r="P156" s="1"/>
  <c r="L157"/>
  <c r="L156" s="1"/>
  <c r="P185"/>
  <c r="P184" s="1"/>
  <c r="P183" s="1"/>
  <c r="L184"/>
  <c r="L183" s="1"/>
  <c r="P195"/>
  <c r="P193" s="1"/>
  <c r="P192" s="1"/>
  <c r="L193"/>
  <c r="L192" s="1"/>
  <c r="P234"/>
  <c r="P233" s="1"/>
  <c r="M233"/>
  <c r="M228" s="1"/>
  <c r="P275"/>
  <c r="P274" s="1"/>
  <c r="L274"/>
  <c r="L273" s="1"/>
  <c r="P302"/>
  <c r="P301" s="1"/>
  <c r="L301"/>
  <c r="L300" s="1"/>
  <c r="P12" i="26"/>
  <c r="P11" s="1"/>
  <c r="P10" s="1"/>
  <c r="L11"/>
  <c r="L10" s="1"/>
  <c r="F12" i="23"/>
  <c r="F14"/>
  <c r="F16"/>
  <c r="P58" i="25"/>
  <c r="P57" s="1"/>
  <c r="P113"/>
  <c r="P152"/>
  <c r="P240"/>
  <c r="P238" s="1"/>
  <c r="P324"/>
  <c r="P323" s="1"/>
  <c r="P15" i="27"/>
  <c r="P30" i="28"/>
  <c r="P29" s="1"/>
  <c r="P28" s="1"/>
  <c r="L29"/>
  <c r="L28" s="1"/>
  <c r="P48"/>
  <c r="F12" i="25"/>
  <c r="F14"/>
  <c r="F18"/>
  <c r="L50"/>
  <c r="P50" s="1"/>
  <c r="Q66"/>
  <c r="L86"/>
  <c r="Q93"/>
  <c r="Q102"/>
  <c r="Q111"/>
  <c r="M125"/>
  <c r="M120" s="1"/>
  <c r="L167"/>
  <c r="Q174"/>
  <c r="Q192"/>
  <c r="L205"/>
  <c r="P221"/>
  <c r="P220" s="1"/>
  <c r="Q282"/>
  <c r="P43" i="28"/>
  <c r="P42" s="1"/>
  <c r="F11"/>
  <c r="P39"/>
  <c r="P38" s="1"/>
  <c r="P37" s="1"/>
  <c r="L38"/>
  <c r="F13" i="25"/>
  <c r="F17"/>
  <c r="Q138"/>
  <c r="Q291"/>
  <c r="Q318"/>
  <c r="Q28" i="28"/>
  <c r="P52"/>
  <c r="P51" s="1"/>
  <c r="L12"/>
  <c r="L13"/>
  <c r="P13" s="1"/>
  <c r="L14"/>
  <c r="P14" s="1"/>
  <c r="L16"/>
  <c r="L17"/>
  <c r="P17" s="1"/>
  <c r="L21"/>
  <c r="P25"/>
  <c r="P24" s="1"/>
  <c r="L50"/>
  <c r="P50" s="1"/>
  <c r="L57"/>
  <c r="P61"/>
  <c r="P60" s="1"/>
  <c r="P12" i="29"/>
  <c r="P16"/>
  <c r="L15"/>
  <c r="L29"/>
  <c r="L28" s="1"/>
  <c r="P30"/>
  <c r="P29" s="1"/>
  <c r="P28" s="1"/>
  <c r="H16" i="28"/>
  <c r="H15" s="1"/>
  <c r="H10" s="1"/>
  <c r="L42"/>
  <c r="O11" i="29"/>
  <c r="O15"/>
  <c r="K15"/>
  <c r="P16" i="30"/>
  <c r="P15" s="1"/>
  <c r="M15"/>
  <c r="M10" s="1"/>
  <c r="L13" i="29"/>
  <c r="P13" s="1"/>
  <c r="L14"/>
  <c r="P14" s="1"/>
  <c r="P13" i="30"/>
  <c r="P11" s="1"/>
  <c r="P10" s="1"/>
  <c r="L11"/>
  <c r="L10" s="1"/>
  <c r="F12" i="29"/>
  <c r="F16"/>
  <c r="F17"/>
  <c r="P16" i="31"/>
  <c r="P15" s="1"/>
  <c r="L15"/>
  <c r="L10" s="1"/>
  <c r="P10"/>
  <c r="Q10"/>
  <c r="O10" i="32"/>
  <c r="P12"/>
  <c r="P11" s="1"/>
  <c r="P16"/>
  <c r="P15" s="1"/>
  <c r="L15" i="9"/>
  <c r="P16"/>
  <c r="P66"/>
  <c r="L11" i="10"/>
  <c r="L15"/>
  <c r="P51" i="9"/>
  <c r="P61"/>
  <c r="P60" s="1"/>
  <c r="P56" i="10"/>
  <c r="P66"/>
  <c r="Q73"/>
  <c r="Q100"/>
  <c r="P57" i="9"/>
  <c r="P56" s="1"/>
  <c r="L56"/>
  <c r="L55" s="1"/>
  <c r="P22" i="10"/>
  <c r="P20" s="1"/>
  <c r="L20"/>
  <c r="M15" i="9"/>
  <c r="K15"/>
  <c r="P17"/>
  <c r="P29"/>
  <c r="P13" i="10"/>
  <c r="P86"/>
  <c r="P83" s="1"/>
  <c r="L11" i="11"/>
  <c r="P12"/>
  <c r="L15"/>
  <c r="P16"/>
  <c r="P15" s="1"/>
  <c r="P12" i="12"/>
  <c r="L26"/>
  <c r="L20" s="1"/>
  <c r="P27"/>
  <c r="P26" s="1"/>
  <c r="P32"/>
  <c r="P31" s="1"/>
  <c r="L31"/>
  <c r="L30" s="1"/>
  <c r="F12" i="9"/>
  <c r="F13"/>
  <c r="F14"/>
  <c r="F16"/>
  <c r="F17"/>
  <c r="Q28"/>
  <c r="L48"/>
  <c r="L67"/>
  <c r="P67" s="1"/>
  <c r="M12" i="10"/>
  <c r="O12"/>
  <c r="F13"/>
  <c r="K16"/>
  <c r="K15" s="1"/>
  <c r="M16"/>
  <c r="M15" s="1"/>
  <c r="O16"/>
  <c r="O15" s="1"/>
  <c r="F17"/>
  <c r="P34"/>
  <c r="P39"/>
  <c r="P38" s="1"/>
  <c r="P43"/>
  <c r="P88"/>
  <c r="P87" s="1"/>
  <c r="P20" i="12"/>
  <c r="F12" i="10"/>
  <c r="F14"/>
  <c r="F16"/>
  <c r="L60"/>
  <c r="L55" s="1"/>
  <c r="L65"/>
  <c r="L64" s="1"/>
  <c r="P13" i="11"/>
  <c r="P52"/>
  <c r="P51" s="1"/>
  <c r="P46" s="1"/>
  <c r="P18" i="12"/>
  <c r="P40"/>
  <c r="P39" s="1"/>
  <c r="F11" i="13"/>
  <c r="F16"/>
  <c r="L40"/>
  <c r="L39" s="1"/>
  <c r="P41"/>
  <c r="P40" s="1"/>
  <c r="P39" s="1"/>
  <c r="P50"/>
  <c r="P49" s="1"/>
  <c r="P48" s="1"/>
  <c r="L49"/>
  <c r="L48" s="1"/>
  <c r="P69"/>
  <c r="L67"/>
  <c r="L66" s="1"/>
  <c r="F12" i="11"/>
  <c r="F14"/>
  <c r="F16"/>
  <c r="M38"/>
  <c r="M37" s="1"/>
  <c r="F12" i="12"/>
  <c r="L13"/>
  <c r="P13" s="1"/>
  <c r="F14"/>
  <c r="L15"/>
  <c r="P15" s="1"/>
  <c r="L17"/>
  <c r="F18"/>
  <c r="Q30"/>
  <c r="P27" i="13"/>
  <c r="P26" s="1"/>
  <c r="P23"/>
  <c r="P21" s="1"/>
  <c r="L21"/>
  <c r="L20" s="1"/>
  <c r="F13" i="11"/>
  <c r="F17"/>
  <c r="Q19"/>
  <c r="Q28"/>
  <c r="P36" i="13"/>
  <c r="P35" s="1"/>
  <c r="Q57"/>
  <c r="P67"/>
  <c r="P72"/>
  <c r="P71" s="1"/>
  <c r="P32" i="14"/>
  <c r="L30"/>
  <c r="L29" s="1"/>
  <c r="P41"/>
  <c r="L39"/>
  <c r="L38" s="1"/>
  <c r="L12" i="13"/>
  <c r="L13"/>
  <c r="P13" s="1"/>
  <c r="L14"/>
  <c r="P14" s="1"/>
  <c r="L17"/>
  <c r="L18"/>
  <c r="P18" s="1"/>
  <c r="Q20"/>
  <c r="L32"/>
  <c r="L34"/>
  <c r="P34" s="1"/>
  <c r="Q39"/>
  <c r="P63" i="14"/>
  <c r="P62" s="1"/>
  <c r="P12"/>
  <c r="F16"/>
  <c r="P23"/>
  <c r="L21"/>
  <c r="L20" s="1"/>
  <c r="L57"/>
  <c r="L56" s="1"/>
  <c r="P58"/>
  <c r="P57" s="1"/>
  <c r="P56" s="1"/>
  <c r="P78"/>
  <c r="O16"/>
  <c r="P22"/>
  <c r="P21" s="1"/>
  <c r="P26"/>
  <c r="P25" s="1"/>
  <c r="P30"/>
  <c r="P39"/>
  <c r="P38" s="1"/>
  <c r="P99"/>
  <c r="P98" s="1"/>
  <c r="L14"/>
  <c r="P14" s="1"/>
  <c r="L17"/>
  <c r="L18"/>
  <c r="P18" s="1"/>
  <c r="L49"/>
  <c r="Q56"/>
  <c r="L68"/>
  <c r="L79"/>
  <c r="P79" s="1"/>
  <c r="L86"/>
  <c r="L95"/>
  <c r="F12"/>
  <c r="F13"/>
  <c r="P12" i="15"/>
  <c r="P22"/>
  <c r="L21"/>
  <c r="L20" s="1"/>
  <c r="P45"/>
  <c r="P44" s="1"/>
  <c r="M44"/>
  <c r="M11"/>
  <c r="K11"/>
  <c r="P13"/>
  <c r="P18"/>
  <c r="P67"/>
  <c r="F12"/>
  <c r="F13"/>
  <c r="F14"/>
  <c r="F17"/>
  <c r="F18"/>
  <c r="L32"/>
  <c r="L34"/>
  <c r="P34" s="1"/>
  <c r="Q39"/>
  <c r="F15" i="16"/>
  <c r="O24"/>
  <c r="O19" s="1"/>
  <c r="O16"/>
  <c r="O15" s="1"/>
  <c r="M47"/>
  <c r="M46" s="1"/>
  <c r="M12"/>
  <c r="M11" s="1"/>
  <c r="P20"/>
  <c r="P29"/>
  <c r="P28" s="1"/>
  <c r="P38"/>
  <c r="P37" s="1"/>
  <c r="P87"/>
  <c r="F11"/>
  <c r="M24"/>
  <c r="M19" s="1"/>
  <c r="M16"/>
  <c r="M15" s="1"/>
  <c r="P49"/>
  <c r="L47"/>
  <c r="L46" s="1"/>
  <c r="L13"/>
  <c r="P13" s="1"/>
  <c r="P25"/>
  <c r="P24" s="1"/>
  <c r="P47"/>
  <c r="P46" s="1"/>
  <c r="L75"/>
  <c r="P22" i="5"/>
  <c r="P21" s="1"/>
  <c r="L21"/>
  <c r="L20" s="1"/>
  <c r="L50"/>
  <c r="L49" s="1"/>
  <c r="P52"/>
  <c r="P78"/>
  <c r="P96"/>
  <c r="P95" s="1"/>
  <c r="L95"/>
  <c r="L94" s="1"/>
  <c r="P46"/>
  <c r="P45" s="1"/>
  <c r="P50"/>
  <c r="P68"/>
  <c r="P73"/>
  <c r="P72" s="1"/>
  <c r="P101"/>
  <c r="L16"/>
  <c r="L86"/>
  <c r="L85" s="1"/>
  <c r="P87"/>
  <c r="P86" s="1"/>
  <c r="P106"/>
  <c r="P104" s="1"/>
  <c r="L104"/>
  <c r="L103" s="1"/>
  <c r="P14"/>
  <c r="P100"/>
  <c r="P99" s="1"/>
  <c r="I11" i="6"/>
  <c r="I15"/>
  <c r="H12"/>
  <c r="G13"/>
  <c r="K13" s="1"/>
  <c r="B11" i="5"/>
  <c r="B10" s="1"/>
  <c r="F12"/>
  <c r="F13"/>
  <c r="F14"/>
  <c r="K15"/>
  <c r="M15"/>
  <c r="F17"/>
  <c r="F18"/>
  <c r="Q20"/>
  <c r="L42"/>
  <c r="L80"/>
  <c r="P80" s="1"/>
  <c r="Q85"/>
  <c r="O12" i="6"/>
  <c r="O11" s="1"/>
  <c r="F13"/>
  <c r="K16"/>
  <c r="K15" s="1"/>
  <c r="O15"/>
  <c r="F17"/>
  <c r="L20"/>
  <c r="L19" s="1"/>
  <c r="M33"/>
  <c r="M28" s="1"/>
  <c r="M23"/>
  <c r="P23" s="1"/>
  <c r="P20" s="1"/>
  <c r="P19" s="1"/>
  <c r="H14"/>
  <c r="K14" s="1"/>
  <c r="O34"/>
  <c r="L15" i="5"/>
  <c r="L72"/>
  <c r="L67" s="1"/>
  <c r="Q67"/>
  <c r="M12" i="6"/>
  <c r="N13"/>
  <c r="L15"/>
  <c r="M16"/>
  <c r="M15" s="1"/>
  <c r="M20"/>
  <c r="M19" s="1"/>
  <c r="M12" i="7"/>
  <c r="P41"/>
  <c r="P40" s="1"/>
  <c r="L40"/>
  <c r="L39" s="1"/>
  <c r="L12"/>
  <c r="F12" i="6"/>
  <c r="N12"/>
  <c r="F14"/>
  <c r="N14"/>
  <c r="F16"/>
  <c r="N16"/>
  <c r="N15" s="1"/>
  <c r="P31" i="7"/>
  <c r="F11"/>
  <c r="F16"/>
  <c r="M24"/>
  <c r="M21" s="1"/>
  <c r="M20" s="1"/>
  <c r="Q66"/>
  <c r="P12" i="8"/>
  <c r="L11"/>
  <c r="L10" s="1"/>
  <c r="P14"/>
  <c r="P15"/>
  <c r="M15"/>
  <c r="M10" s="1"/>
  <c r="Q10" i="3"/>
  <c r="Q10" i="4"/>
  <c r="L15" i="2"/>
  <c r="L10" s="1"/>
  <c r="Q10"/>
  <c r="P21" i="1"/>
  <c r="P20" s="1"/>
  <c r="L20"/>
  <c r="P30"/>
  <c r="P29" s="1"/>
  <c r="M29"/>
  <c r="M28" s="1"/>
  <c r="O19"/>
  <c r="P25"/>
  <c r="P24" s="1"/>
  <c r="M37"/>
  <c r="P38"/>
  <c r="P43"/>
  <c r="P42" s="1"/>
  <c r="P51"/>
  <c r="K12"/>
  <c r="M12"/>
  <c r="M14"/>
  <c r="M16"/>
  <c r="M17"/>
  <c r="P62"/>
  <c r="P60" s="1"/>
  <c r="L12"/>
  <c r="O12"/>
  <c r="L13"/>
  <c r="O13"/>
  <c r="L14"/>
  <c r="O14"/>
  <c r="L16"/>
  <c r="O16"/>
  <c r="L17"/>
  <c r="O17"/>
  <c r="L24"/>
  <c r="L33"/>
  <c r="L28" s="1"/>
  <c r="L42"/>
  <c r="L37" s="1"/>
  <c r="F12"/>
  <c r="F13"/>
  <c r="K13"/>
  <c r="M13"/>
  <c r="F14"/>
  <c r="F16"/>
  <c r="K16"/>
  <c r="F17"/>
  <c r="K17"/>
  <c r="M11" i="9" l="1"/>
  <c r="K12"/>
  <c r="O28"/>
  <c r="K16" i="7"/>
  <c r="O48"/>
  <c r="F15" i="28"/>
  <c r="P237" i="25"/>
  <c r="P138"/>
  <c r="P310"/>
  <c r="P309" s="1"/>
  <c r="P292"/>
  <c r="P291" s="1"/>
  <c r="P296"/>
  <c r="P219"/>
  <c r="P17" i="24"/>
  <c r="P69"/>
  <c r="P64" s="1"/>
  <c r="P15"/>
  <c r="P74" i="23"/>
  <c r="P65"/>
  <c r="P64" s="1"/>
  <c r="P56"/>
  <c r="P38"/>
  <c r="P37" s="1"/>
  <c r="P48"/>
  <c r="P47" s="1"/>
  <c r="P46" s="1"/>
  <c r="P42"/>
  <c r="P24"/>
  <c r="P55"/>
  <c r="P69"/>
  <c r="K11"/>
  <c r="K10" s="1"/>
  <c r="P53" i="21"/>
  <c r="P48"/>
  <c r="P101" i="16"/>
  <c r="O11"/>
  <c r="O10" s="1"/>
  <c r="P60"/>
  <c r="P21" i="15"/>
  <c r="P20" s="1"/>
  <c r="M17"/>
  <c r="P94"/>
  <c r="P93" s="1"/>
  <c r="P62"/>
  <c r="P57" s="1"/>
  <c r="P66" i="13"/>
  <c r="P20"/>
  <c r="K16" i="12"/>
  <c r="K10" s="1"/>
  <c r="P29" i="11"/>
  <c r="P28" s="1"/>
  <c r="P42" i="10"/>
  <c r="P33"/>
  <c r="O11"/>
  <c r="L19"/>
  <c r="P65"/>
  <c r="P24"/>
  <c r="P19" s="1"/>
  <c r="P51"/>
  <c r="P55" i="9"/>
  <c r="L12"/>
  <c r="P12" s="1"/>
  <c r="P17" i="7"/>
  <c r="P16" s="1"/>
  <c r="K11"/>
  <c r="K10" s="1"/>
  <c r="O57"/>
  <c r="G11" i="6"/>
  <c r="G10" s="1"/>
  <c r="L13"/>
  <c r="P90" i="5"/>
  <c r="P59"/>
  <c r="P58" s="1"/>
  <c r="P35"/>
  <c r="M11"/>
  <c r="P13"/>
  <c r="K12"/>
  <c r="K11" s="1"/>
  <c r="O18"/>
  <c r="P18" s="1"/>
  <c r="P85"/>
  <c r="K17"/>
  <c r="K16" s="1"/>
  <c r="K10" s="1"/>
  <c r="P55" i="1"/>
  <c r="P46"/>
  <c r="J11" i="18"/>
  <c r="M13"/>
  <c r="P13" s="1"/>
  <c r="P14"/>
  <c r="M15" i="29"/>
  <c r="M10" s="1"/>
  <c r="P24"/>
  <c r="P19" s="1"/>
  <c r="K10"/>
  <c r="P15"/>
  <c r="O16" i="28"/>
  <c r="O15" s="1"/>
  <c r="O10" s="1"/>
  <c r="E15"/>
  <c r="E10" s="1"/>
  <c r="M28"/>
  <c r="K12"/>
  <c r="K11" s="1"/>
  <c r="G11"/>
  <c r="G10" s="1"/>
  <c r="O46"/>
  <c r="Q37"/>
  <c r="M11"/>
  <c r="P10" i="27"/>
  <c r="P300" i="25"/>
  <c r="P332"/>
  <c r="P278"/>
  <c r="P273" s="1"/>
  <c r="P112"/>
  <c r="P111" s="1"/>
  <c r="P16"/>
  <c r="Q219"/>
  <c r="P39"/>
  <c r="P38" s="1"/>
  <c r="P34"/>
  <c r="P29" s="1"/>
  <c r="Q147"/>
  <c r="Q75"/>
  <c r="P121"/>
  <c r="P120" s="1"/>
  <c r="Q84"/>
  <c r="Q273"/>
  <c r="P328"/>
  <c r="P327" s="1"/>
  <c r="P256"/>
  <c r="P98"/>
  <c r="P93" s="1"/>
  <c r="P25"/>
  <c r="P20" s="1"/>
  <c r="P265"/>
  <c r="P264" s="1"/>
  <c r="P260"/>
  <c r="P211"/>
  <c r="P210" s="1"/>
  <c r="P134"/>
  <c r="P129" s="1"/>
  <c r="K11"/>
  <c r="K10" s="1"/>
  <c r="P12" i="24"/>
  <c r="P11" s="1"/>
  <c r="P10" s="1"/>
  <c r="P38"/>
  <c r="P37" s="1"/>
  <c r="M10"/>
  <c r="O10"/>
  <c r="P13"/>
  <c r="M11"/>
  <c r="B10"/>
  <c r="L14"/>
  <c r="P14" s="1"/>
  <c r="K12"/>
  <c r="K11" s="1"/>
  <c r="G11"/>
  <c r="G10" s="1"/>
  <c r="K10"/>
  <c r="P19" i="23"/>
  <c r="P78"/>
  <c r="P73" s="1"/>
  <c r="P26" i="22"/>
  <c r="M10"/>
  <c r="P50"/>
  <c r="K16"/>
  <c r="K10" s="1"/>
  <c r="P18"/>
  <c r="P16" s="1"/>
  <c r="P13"/>
  <c r="P76"/>
  <c r="P58"/>
  <c r="P54"/>
  <c r="C10"/>
  <c r="O17" i="21"/>
  <c r="K12"/>
  <c r="K11" s="1"/>
  <c r="G11"/>
  <c r="G10" s="1"/>
  <c r="Q57"/>
  <c r="L12"/>
  <c r="K17"/>
  <c r="K16" s="1"/>
  <c r="K10" s="1"/>
  <c r="P57"/>
  <c r="P21"/>
  <c r="P20" s="1"/>
  <c r="K15" i="20"/>
  <c r="K10"/>
  <c r="P33"/>
  <c r="P28" s="1"/>
  <c r="D10"/>
  <c r="O10"/>
  <c r="B10"/>
  <c r="P24"/>
  <c r="P19" s="1"/>
  <c r="P53" i="19"/>
  <c r="K11"/>
  <c r="P26"/>
  <c r="K16"/>
  <c r="K10" s="1"/>
  <c r="G11" i="18"/>
  <c r="K12"/>
  <c r="L12"/>
  <c r="P12" s="1"/>
  <c r="P125"/>
  <c r="O12"/>
  <c r="O11" s="1"/>
  <c r="K13"/>
  <c r="O16"/>
  <c r="K17"/>
  <c r="G16"/>
  <c r="P144"/>
  <c r="P143" s="1"/>
  <c r="M143"/>
  <c r="Q66"/>
  <c r="P166"/>
  <c r="P180"/>
  <c r="Q30"/>
  <c r="E10"/>
  <c r="Q193"/>
  <c r="P139"/>
  <c r="K18"/>
  <c r="H16"/>
  <c r="H10" s="1"/>
  <c r="J16"/>
  <c r="J10" s="1"/>
  <c r="Q184"/>
  <c r="Q93"/>
  <c r="P175"/>
  <c r="M138"/>
  <c r="P116"/>
  <c r="P111" s="1"/>
  <c r="P58"/>
  <c r="P57" s="1"/>
  <c r="P53"/>
  <c r="P48" s="1"/>
  <c r="O39"/>
  <c r="P189"/>
  <c r="B10"/>
  <c r="L138"/>
  <c r="M18"/>
  <c r="M16" s="1"/>
  <c r="Q84"/>
  <c r="M39"/>
  <c r="P11" i="17"/>
  <c r="P10" s="1"/>
  <c r="P100" i="16"/>
  <c r="P96"/>
  <c r="P92"/>
  <c r="P83"/>
  <c r="P82" s="1"/>
  <c r="P14"/>
  <c r="P65"/>
  <c r="P17"/>
  <c r="L15"/>
  <c r="J15"/>
  <c r="J10" s="1"/>
  <c r="P78"/>
  <c r="P69"/>
  <c r="P64" s="1"/>
  <c r="P56"/>
  <c r="P55" s="1"/>
  <c r="K16"/>
  <c r="K15" s="1"/>
  <c r="K12"/>
  <c r="K11" s="1"/>
  <c r="K10" s="1"/>
  <c r="G11"/>
  <c r="G10" s="1"/>
  <c r="B10"/>
  <c r="K17" i="15"/>
  <c r="K16" s="1"/>
  <c r="K10" s="1"/>
  <c r="P71"/>
  <c r="P66" s="1"/>
  <c r="P53"/>
  <c r="P40"/>
  <c r="P39" s="1"/>
  <c r="O16"/>
  <c r="P89"/>
  <c r="P84" s="1"/>
  <c r="P80"/>
  <c r="P35"/>
  <c r="P75"/>
  <c r="Q93"/>
  <c r="O11"/>
  <c r="O10" s="1"/>
  <c r="P49"/>
  <c r="P48" s="1"/>
  <c r="P14"/>
  <c r="Q66"/>
  <c r="P103" i="14"/>
  <c r="P102" s="1"/>
  <c r="Q20"/>
  <c r="P89"/>
  <c r="P80"/>
  <c r="K12"/>
  <c r="K11" s="1"/>
  <c r="K10" s="1"/>
  <c r="H11"/>
  <c r="H10" s="1"/>
  <c r="M10"/>
  <c r="G11"/>
  <c r="G10" s="1"/>
  <c r="P76"/>
  <c r="Q93"/>
  <c r="P34"/>
  <c r="P29" s="1"/>
  <c r="O11"/>
  <c r="O10" s="1"/>
  <c r="G11" i="13"/>
  <c r="G10" s="1"/>
  <c r="Q66"/>
  <c r="P76"/>
  <c r="P75" s="1"/>
  <c r="O10"/>
  <c r="P58"/>
  <c r="P57" s="1"/>
  <c r="M11"/>
  <c r="M10" s="1"/>
  <c r="B10"/>
  <c r="Q30"/>
  <c r="K11"/>
  <c r="K10" s="1"/>
  <c r="Q20" i="12"/>
  <c r="P35"/>
  <c r="P30" s="1"/>
  <c r="O11"/>
  <c r="O10" s="1"/>
  <c r="P38" i="11"/>
  <c r="P37" s="1"/>
  <c r="B10"/>
  <c r="P19"/>
  <c r="K10"/>
  <c r="P110" i="10"/>
  <c r="M14"/>
  <c r="P14" s="1"/>
  <c r="P69"/>
  <c r="P64" s="1"/>
  <c r="M11"/>
  <c r="P60"/>
  <c r="P55" s="1"/>
  <c r="O19"/>
  <c r="P114"/>
  <c r="P109" s="1"/>
  <c r="P37"/>
  <c r="P82"/>
  <c r="P92"/>
  <c r="P91" s="1"/>
  <c r="E10"/>
  <c r="B10"/>
  <c r="H11"/>
  <c r="H10" s="1"/>
  <c r="C11"/>
  <c r="C10" s="1"/>
  <c r="P47"/>
  <c r="P46" s="1"/>
  <c r="P29"/>
  <c r="P28" s="1"/>
  <c r="K14"/>
  <c r="K11" s="1"/>
  <c r="K10" s="1"/>
  <c r="P69" i="9"/>
  <c r="P24"/>
  <c r="J10"/>
  <c r="K13"/>
  <c r="K11" s="1"/>
  <c r="K10" s="1"/>
  <c r="M10"/>
  <c r="O11"/>
  <c r="O10" s="1"/>
  <c r="G11"/>
  <c r="G10" s="1"/>
  <c r="Q19"/>
  <c r="L13"/>
  <c r="P38"/>
  <c r="P37" s="1"/>
  <c r="P33"/>
  <c r="P28" s="1"/>
  <c r="P20"/>
  <c r="P14"/>
  <c r="C10"/>
  <c r="P58" i="7"/>
  <c r="P35"/>
  <c r="P53"/>
  <c r="P48" s="1"/>
  <c r="P62"/>
  <c r="P67"/>
  <c r="P66" s="1"/>
  <c r="P23"/>
  <c r="L21"/>
  <c r="L20" s="1"/>
  <c r="L13"/>
  <c r="P13" s="1"/>
  <c r="P44"/>
  <c r="P26"/>
  <c r="P30"/>
  <c r="P39"/>
  <c r="P29" i="6"/>
  <c r="Q103" i="5"/>
  <c r="P15"/>
  <c r="P67"/>
  <c r="P113"/>
  <c r="P112" s="1"/>
  <c r="O17"/>
  <c r="O16" s="1"/>
  <c r="L12"/>
  <c r="P54"/>
  <c r="P49" s="1"/>
  <c r="P31"/>
  <c r="P30" s="1"/>
  <c r="P26"/>
  <c r="P20" s="1"/>
  <c r="J10"/>
  <c r="M17"/>
  <c r="P108"/>
  <c r="P103" s="1"/>
  <c r="O11"/>
  <c r="O10" s="1"/>
  <c r="P10" i="3"/>
  <c r="P15" i="2"/>
  <c r="P11"/>
  <c r="M15" i="1"/>
  <c r="P17"/>
  <c r="P28"/>
  <c r="P10" i="33"/>
  <c r="P10" i="32"/>
  <c r="F15" i="29"/>
  <c r="P57" i="28"/>
  <c r="P56" s="1"/>
  <c r="P55" s="1"/>
  <c r="L56"/>
  <c r="L55" s="1"/>
  <c r="P21"/>
  <c r="P20" s="1"/>
  <c r="P19" s="1"/>
  <c r="L20"/>
  <c r="L19" s="1"/>
  <c r="P12"/>
  <c r="P11" s="1"/>
  <c r="L11"/>
  <c r="F16" i="25"/>
  <c r="F10" i="28"/>
  <c r="P205" i="25"/>
  <c r="L202"/>
  <c r="L201" s="1"/>
  <c r="F15" i="23"/>
  <c r="F11"/>
  <c r="O78" i="24"/>
  <c r="O73" s="1"/>
  <c r="P79"/>
  <c r="P78" s="1"/>
  <c r="F11"/>
  <c r="O10" i="29"/>
  <c r="L11"/>
  <c r="L10" s="1"/>
  <c r="K16" i="28"/>
  <c r="K15" s="1"/>
  <c r="K10" s="1"/>
  <c r="Q10" s="1"/>
  <c r="L37"/>
  <c r="P47"/>
  <c r="P46" s="1"/>
  <c r="Q255" i="25"/>
  <c r="P48"/>
  <c r="P47" s="1"/>
  <c r="F11" i="29"/>
  <c r="L15" i="28"/>
  <c r="P167" i="25"/>
  <c r="P166" s="1"/>
  <c r="P165" s="1"/>
  <c r="L166"/>
  <c r="L165" s="1"/>
  <c r="P86"/>
  <c r="P85" s="1"/>
  <c r="P84" s="1"/>
  <c r="L85"/>
  <c r="L84" s="1"/>
  <c r="F11"/>
  <c r="P49" i="24"/>
  <c r="L47"/>
  <c r="L46" s="1"/>
  <c r="P21"/>
  <c r="P20" s="1"/>
  <c r="P19" s="1"/>
  <c r="L20"/>
  <c r="L19" s="1"/>
  <c r="F15"/>
  <c r="P11" i="29"/>
  <c r="P10" s="1"/>
  <c r="Q46" i="28"/>
  <c r="M16"/>
  <c r="M15" s="1"/>
  <c r="M10" s="1"/>
  <c r="L47"/>
  <c r="L46" s="1"/>
  <c r="P147" i="25"/>
  <c r="L48"/>
  <c r="L47" s="1"/>
  <c r="P318"/>
  <c r="F11" i="19"/>
  <c r="F11" i="22"/>
  <c r="P50" i="19"/>
  <c r="P49" s="1"/>
  <c r="P48" s="1"/>
  <c r="L49"/>
  <c r="L48" s="1"/>
  <c r="P32"/>
  <c r="P31" s="1"/>
  <c r="P30" s="1"/>
  <c r="L31"/>
  <c r="L30" s="1"/>
  <c r="P105" i="18"/>
  <c r="P103" s="1"/>
  <c r="P102" s="1"/>
  <c r="L103"/>
  <c r="L102" s="1"/>
  <c r="P32"/>
  <c r="P31" s="1"/>
  <c r="P30" s="1"/>
  <c r="L31"/>
  <c r="L30" s="1"/>
  <c r="P22"/>
  <c r="P21" s="1"/>
  <c r="L21"/>
  <c r="P17"/>
  <c r="L16"/>
  <c r="F10"/>
  <c r="P228" i="25"/>
  <c r="P202"/>
  <c r="P201" s="1"/>
  <c r="L10"/>
  <c r="Q20" i="21"/>
  <c r="Q129" i="18"/>
  <c r="P47" i="24"/>
  <c r="P46" s="1"/>
  <c r="L10" i="23"/>
  <c r="O10" i="22"/>
  <c r="M10" i="20"/>
  <c r="L10" i="22"/>
  <c r="P16" i="19"/>
  <c r="L26" i="18"/>
  <c r="P15" i="20"/>
  <c r="P11"/>
  <c r="P11" i="19"/>
  <c r="P10" s="1"/>
  <c r="P157" i="18"/>
  <c r="P156" s="1"/>
  <c r="P76"/>
  <c r="P75" s="1"/>
  <c r="F16" i="21"/>
  <c r="P22" i="22"/>
  <c r="P21" s="1"/>
  <c r="P20" s="1"/>
  <c r="L21"/>
  <c r="L20" s="1"/>
  <c r="F16"/>
  <c r="F11" i="21"/>
  <c r="F15" i="20"/>
  <c r="F11"/>
  <c r="P59" i="19"/>
  <c r="P58" s="1"/>
  <c r="P57" s="1"/>
  <c r="L58"/>
  <c r="L57" s="1"/>
  <c r="M21"/>
  <c r="M20" s="1"/>
  <c r="P23"/>
  <c r="P21" s="1"/>
  <c r="P20" s="1"/>
  <c r="F16"/>
  <c r="P186" i="18"/>
  <c r="P185" s="1"/>
  <c r="P184" s="1"/>
  <c r="L185"/>
  <c r="L184" s="1"/>
  <c r="P86"/>
  <c r="P85" s="1"/>
  <c r="P84" s="1"/>
  <c r="L85"/>
  <c r="L84" s="1"/>
  <c r="L11"/>
  <c r="P11" i="25"/>
  <c r="P10" s="1"/>
  <c r="P73" i="24"/>
  <c r="P11" i="23"/>
  <c r="P10" s="1"/>
  <c r="P11" i="22"/>
  <c r="L16" i="19"/>
  <c r="P26" i="18"/>
  <c r="L10" i="20"/>
  <c r="L11" i="19"/>
  <c r="P122" i="18"/>
  <c r="P121" s="1"/>
  <c r="P120" s="1"/>
  <c r="P39"/>
  <c r="F10" i="16"/>
  <c r="P32" i="15"/>
  <c r="P31" s="1"/>
  <c r="L31"/>
  <c r="L30" s="1"/>
  <c r="F16"/>
  <c r="Q10" i="16"/>
  <c r="Q37"/>
  <c r="P19"/>
  <c r="M10"/>
  <c r="P75"/>
  <c r="P74" s="1"/>
  <c r="P73" s="1"/>
  <c r="L12"/>
  <c r="L74"/>
  <c r="L73" s="1"/>
  <c r="F11" i="15"/>
  <c r="P16" i="16"/>
  <c r="P15" s="1"/>
  <c r="F11" i="14"/>
  <c r="P95"/>
  <c r="P94" s="1"/>
  <c r="P93" s="1"/>
  <c r="L94"/>
  <c r="L93" s="1"/>
  <c r="P32" i="13"/>
  <c r="P31" s="1"/>
  <c r="P30" s="1"/>
  <c r="L31"/>
  <c r="L30" s="1"/>
  <c r="P12"/>
  <c r="P11" s="1"/>
  <c r="L11"/>
  <c r="Q30" i="15"/>
  <c r="L10"/>
  <c r="L76" i="14"/>
  <c r="L75" s="1"/>
  <c r="L11"/>
  <c r="P86"/>
  <c r="P85" s="1"/>
  <c r="P84" s="1"/>
  <c r="L85"/>
  <c r="L84" s="1"/>
  <c r="P68"/>
  <c r="P67" s="1"/>
  <c r="P66" s="1"/>
  <c r="L67"/>
  <c r="L66" s="1"/>
  <c r="P49"/>
  <c r="P48" s="1"/>
  <c r="P47" s="1"/>
  <c r="L48"/>
  <c r="L47" s="1"/>
  <c r="P17"/>
  <c r="P16" s="1"/>
  <c r="L16"/>
  <c r="P17" i="13"/>
  <c r="P16" s="1"/>
  <c r="L16"/>
  <c r="P11" i="15"/>
  <c r="P20" i="14"/>
  <c r="P11"/>
  <c r="F10" i="13"/>
  <c r="F15" i="9"/>
  <c r="M10" i="10"/>
  <c r="P11" i="12"/>
  <c r="P11" i="11"/>
  <c r="P10" s="1"/>
  <c r="L10" i="10"/>
  <c r="P65" i="9"/>
  <c r="P15"/>
  <c r="P17" i="12"/>
  <c r="P16" s="1"/>
  <c r="L16"/>
  <c r="F11"/>
  <c r="F15" i="11"/>
  <c r="F11"/>
  <c r="F15" i="10"/>
  <c r="F11"/>
  <c r="P48" i="9"/>
  <c r="P47" s="1"/>
  <c r="P46" s="1"/>
  <c r="L47"/>
  <c r="L46" s="1"/>
  <c r="F11"/>
  <c r="F16" i="12"/>
  <c r="O10" i="10"/>
  <c r="L11" i="12"/>
  <c r="L10" i="11"/>
  <c r="P16" i="10"/>
  <c r="P15" s="1"/>
  <c r="P12"/>
  <c r="P11" s="1"/>
  <c r="L65" i="9"/>
  <c r="L64" s="1"/>
  <c r="F15" i="6"/>
  <c r="F16" i="5"/>
  <c r="K12" i="6"/>
  <c r="K11" s="1"/>
  <c r="K10" s="1"/>
  <c r="H11"/>
  <c r="H10" s="1"/>
  <c r="N11"/>
  <c r="N10" s="1"/>
  <c r="P16"/>
  <c r="P15" s="1"/>
  <c r="I10"/>
  <c r="P94" i="5"/>
  <c r="L77"/>
  <c r="L76" s="1"/>
  <c r="M14" i="7"/>
  <c r="P14" s="1"/>
  <c r="P24"/>
  <c r="F10"/>
  <c r="F11" i="6"/>
  <c r="P12" i="7"/>
  <c r="O33" i="6"/>
  <c r="O28" s="1"/>
  <c r="P34"/>
  <c r="P33" s="1"/>
  <c r="P28" s="1"/>
  <c r="P13"/>
  <c r="L11"/>
  <c r="L10" s="1"/>
  <c r="P42" i="5"/>
  <c r="P40" s="1"/>
  <c r="P39" s="1"/>
  <c r="L40"/>
  <c r="L39" s="1"/>
  <c r="F11"/>
  <c r="P11" i="8"/>
  <c r="P10" s="1"/>
  <c r="Q19" i="6"/>
  <c r="P12"/>
  <c r="O10"/>
  <c r="M14"/>
  <c r="P14" s="1"/>
  <c r="P77" i="5"/>
  <c r="P76" s="1"/>
  <c r="F11" i="1"/>
  <c r="L11"/>
  <c r="P12"/>
  <c r="K15"/>
  <c r="O15"/>
  <c r="P14"/>
  <c r="K11"/>
  <c r="P37"/>
  <c r="Q46"/>
  <c r="P19"/>
  <c r="F15"/>
  <c r="P16"/>
  <c r="P15" s="1"/>
  <c r="L15"/>
  <c r="P13"/>
  <c r="O11"/>
  <c r="O10" s="1"/>
  <c r="M11"/>
  <c r="M10" s="1"/>
  <c r="L19"/>
  <c r="P19" i="9" l="1"/>
  <c r="L11" i="7"/>
  <c r="L10" s="1"/>
  <c r="P21"/>
  <c r="P20" s="1"/>
  <c r="P57"/>
  <c r="L10" i="19"/>
  <c r="O10" i="18"/>
  <c r="M11"/>
  <c r="P91" i="16"/>
  <c r="M16" i="15"/>
  <c r="M10" s="1"/>
  <c r="P17"/>
  <c r="P16" s="1"/>
  <c r="P10" s="1"/>
  <c r="P30"/>
  <c r="P10" i="14"/>
  <c r="L10" i="12"/>
  <c r="P64" i="9"/>
  <c r="P10" i="2"/>
  <c r="K10" i="1"/>
  <c r="L10" i="18"/>
  <c r="G10"/>
  <c r="K11"/>
  <c r="P11"/>
  <c r="Q28" i="29"/>
  <c r="Q327" i="25"/>
  <c r="Q29"/>
  <c r="Q246"/>
  <c r="Q38"/>
  <c r="Q300"/>
  <c r="P255"/>
  <c r="Q57"/>
  <c r="Q47"/>
  <c r="L11" i="24"/>
  <c r="L10" s="1"/>
  <c r="Q55"/>
  <c r="Q46"/>
  <c r="Q64"/>
  <c r="Q73"/>
  <c r="P10" i="22"/>
  <c r="Q30"/>
  <c r="Q58"/>
  <c r="P49"/>
  <c r="P12" i="21"/>
  <c r="P11" s="1"/>
  <c r="L11"/>
  <c r="L10" s="1"/>
  <c r="O16"/>
  <c r="O10" s="1"/>
  <c r="P17"/>
  <c r="P16" s="1"/>
  <c r="Q48"/>
  <c r="Q39"/>
  <c r="Q66"/>
  <c r="Q37" i="20"/>
  <c r="Q57" i="19"/>
  <c r="Q48" i="18"/>
  <c r="Q120"/>
  <c r="M10"/>
  <c r="P18"/>
  <c r="P16" s="1"/>
  <c r="Q39"/>
  <c r="Q102"/>
  <c r="P138"/>
  <c r="Q75"/>
  <c r="Q20"/>
  <c r="Q111"/>
  <c r="Q138"/>
  <c r="K16"/>
  <c r="K10" s="1"/>
  <c r="Q10" s="1"/>
  <c r="Q82" i="16"/>
  <c r="Q91"/>
  <c r="Q73"/>
  <c r="Q28"/>
  <c r="Q55"/>
  <c r="Q100"/>
  <c r="Q19"/>
  <c r="Q84" i="15"/>
  <c r="Q20"/>
  <c r="Q57"/>
  <c r="Q75"/>
  <c r="Q75" i="14"/>
  <c r="P75"/>
  <c r="Q47"/>
  <c r="Q84"/>
  <c r="Q102"/>
  <c r="Q66"/>
  <c r="Q75" i="13"/>
  <c r="Q48"/>
  <c r="Q39" i="12"/>
  <c r="L11" i="9"/>
  <c r="L10" s="1"/>
  <c r="P13"/>
  <c r="P11" s="1"/>
  <c r="P10" s="1"/>
  <c r="Q46"/>
  <c r="Q64"/>
  <c r="Q48" i="7"/>
  <c r="M11"/>
  <c r="M10" s="1"/>
  <c r="P11"/>
  <c r="P10" s="1"/>
  <c r="Q20"/>
  <c r="P12" i="5"/>
  <c r="P11" s="1"/>
  <c r="L11"/>
  <c r="L10" s="1"/>
  <c r="Q49"/>
  <c r="M16"/>
  <c r="M10" s="1"/>
  <c r="P17"/>
  <c r="P16" s="1"/>
  <c r="Q76"/>
  <c r="Q28" i="1"/>
  <c r="Q20" i="19"/>
  <c r="F10" i="20"/>
  <c r="F10" i="29"/>
  <c r="F10" i="23"/>
  <c r="P10" i="20"/>
  <c r="L20" i="18"/>
  <c r="L10" i="28"/>
  <c r="F10" i="21"/>
  <c r="Q30"/>
  <c r="Q39" i="22"/>
  <c r="Q67"/>
  <c r="Q73" i="23"/>
  <c r="F10" i="22"/>
  <c r="F10" i="19"/>
  <c r="F10" i="25"/>
  <c r="Q120"/>
  <c r="F10" i="24"/>
  <c r="P20" i="18"/>
  <c r="Q55" i="23"/>
  <c r="P16" i="28"/>
  <c r="P15" s="1"/>
  <c r="Q156" i="25"/>
  <c r="P10" i="28"/>
  <c r="F10" i="9"/>
  <c r="F10" i="10"/>
  <c r="Q46"/>
  <c r="Q55"/>
  <c r="F10" i="11"/>
  <c r="F10" i="12"/>
  <c r="Q10" i="13"/>
  <c r="Q37" i="11"/>
  <c r="Q28" i="10"/>
  <c r="Q82"/>
  <c r="Q91"/>
  <c r="Q109"/>
  <c r="P12" i="16"/>
  <c r="P11" s="1"/>
  <c r="P10" s="1"/>
  <c r="L11"/>
  <c r="L10" s="1"/>
  <c r="P10" i="10"/>
  <c r="P10" i="12"/>
  <c r="Q64" i="10"/>
  <c r="P10" i="13"/>
  <c r="F10" i="14"/>
  <c r="F10" i="15"/>
  <c r="Q10" i="10"/>
  <c r="L10" i="14"/>
  <c r="L10" i="13"/>
  <c r="Q46" i="16"/>
  <c r="Q10" i="7"/>
  <c r="M11" i="6"/>
  <c r="M10" s="1"/>
  <c r="F10" i="5"/>
  <c r="Q58"/>
  <c r="F10" i="6"/>
  <c r="P11"/>
  <c r="P10" s="1"/>
  <c r="Q10"/>
  <c r="Q10" i="8"/>
  <c r="L10" i="1"/>
  <c r="Q55"/>
  <c r="F10"/>
  <c r="P11"/>
  <c r="P10" s="1"/>
  <c r="P10" i="18" l="1"/>
  <c r="P10" i="21"/>
  <c r="Q166" i="18"/>
  <c r="Q10" i="17"/>
  <c r="Q55" i="9"/>
  <c r="P10" i="5"/>
  <c r="Q37" i="1"/>
  <c r="Q19"/>
  <c r="Q10" i="24"/>
  <c r="Q64" i="23"/>
  <c r="Q10" i="22"/>
  <c r="Q10" i="21"/>
  <c r="Q10" i="30"/>
  <c r="Q55" i="28"/>
  <c r="Q19"/>
  <c r="Q10" i="25"/>
  <c r="Q46" i="23"/>
  <c r="Q10" i="19"/>
  <c r="Q10" i="32"/>
  <c r="Q10" i="23"/>
  <c r="Q10" i="29"/>
  <c r="Q228" i="25"/>
  <c r="Q10" i="20"/>
  <c r="Q10" i="15"/>
  <c r="Q10" i="14"/>
  <c r="Q10" i="12"/>
  <c r="Q10" i="9"/>
  <c r="Q37" i="10"/>
  <c r="Q19"/>
  <c r="Q10" i="11"/>
  <c r="Q28" i="6"/>
  <c r="Q39" i="5"/>
  <c r="Q94"/>
  <c r="Q10"/>
  <c r="Q10" i="1"/>
</calcChain>
</file>

<file path=xl/comments1.xml><?xml version="1.0" encoding="utf-8"?>
<comments xmlns="http://schemas.openxmlformats.org/spreadsheetml/2006/main">
  <authors>
    <author>Peach Adarna</author>
  </authors>
  <commentList>
    <comment ref="G23" authorId="0">
      <text>
        <r>
          <rPr>
            <b/>
            <sz val="9"/>
            <color indexed="81"/>
            <rFont val="Tahoma"/>
            <family val="2"/>
          </rPr>
          <t xml:space="preserve">Peach Adarna
P439 -sub-allotment to LGA
</t>
        </r>
      </text>
    </comment>
  </commentList>
</comments>
</file>

<file path=xl/comments2.xml><?xml version="1.0" encoding="utf-8"?>
<comments xmlns="http://schemas.openxmlformats.org/spreadsheetml/2006/main">
  <authors>
    <author>mtejerero</author>
  </authors>
  <commentList>
    <comment ref="I877" authorId="0">
      <text>
        <r>
          <rPr>
            <b/>
            <sz val="9"/>
            <color indexed="81"/>
            <rFont val="Tahoma"/>
            <family val="2"/>
          </rPr>
          <t>mtejerero:</t>
        </r>
        <r>
          <rPr>
            <sz val="9"/>
            <color indexed="81"/>
            <rFont val="Tahoma"/>
            <family val="2"/>
          </rPr>
          <t xml:space="preserve">
march
</t>
        </r>
      </text>
    </comment>
  </commentList>
</comments>
</file>

<file path=xl/sharedStrings.xml><?xml version="1.0" encoding="utf-8"?>
<sst xmlns="http://schemas.openxmlformats.org/spreadsheetml/2006/main" count="3723" uniqueCount="380">
  <si>
    <t>STATEMENT OF ALLOTMENT, OBLIGATION AND BALANCES</t>
  </si>
  <si>
    <t xml:space="preserve">                                                                              </t>
  </si>
  <si>
    <t xml:space="preserve"> </t>
  </si>
  <si>
    <t>(In Thousand Pesos)</t>
  </si>
  <si>
    <t>PARTICULARS</t>
  </si>
  <si>
    <t>ALLOTMENTS</t>
  </si>
  <si>
    <t>OBLIGATIONS INCURRED</t>
  </si>
  <si>
    <t>BALANCES</t>
  </si>
  <si>
    <t>UTILIZATION RATE (%)</t>
  </si>
  <si>
    <t>PS</t>
  </si>
  <si>
    <t>MOOE</t>
  </si>
  <si>
    <t>FINEX</t>
  </si>
  <si>
    <t>CO</t>
  </si>
  <si>
    <t>Total</t>
  </si>
  <si>
    <t>Congress of the Philippines</t>
  </si>
  <si>
    <t xml:space="preserve">     Current Year Budget</t>
  </si>
  <si>
    <t xml:space="preserve">          Agency Specific Budget </t>
  </si>
  <si>
    <t xml:space="preserve">          Special Purpose Funds</t>
  </si>
  <si>
    <t xml:space="preserve">          Automatic Appropriation</t>
  </si>
  <si>
    <t xml:space="preserve">     Continuing Appropriation</t>
  </si>
  <si>
    <t xml:space="preserve">          Unobligated Allotment as of 12/31/13</t>
  </si>
  <si>
    <t xml:space="preserve">          Allotment Releases in FY 2014</t>
  </si>
  <si>
    <t xml:space="preserve">   Senate</t>
  </si>
  <si>
    <t xml:space="preserve">   Senate Electoral Tribunal</t>
  </si>
  <si>
    <t xml:space="preserve">   House of Representatives</t>
  </si>
  <si>
    <t xml:space="preserve">   House Electoral Tribunal</t>
  </si>
  <si>
    <t>Office of the President</t>
  </si>
  <si>
    <t>Office of the Vice-President</t>
  </si>
  <si>
    <t>Department of Agrarian Reform</t>
  </si>
  <si>
    <t>Department of Agriculture</t>
  </si>
  <si>
    <t xml:space="preserve">     Supplemental Appropriation</t>
  </si>
  <si>
    <t xml:space="preserve">   Office of the Secretary</t>
  </si>
  <si>
    <t xml:space="preserve">   Agricultural Credit Policy Council</t>
  </si>
  <si>
    <t xml:space="preserve">   Bureau of Fisheries and Aquatic Resources</t>
  </si>
  <si>
    <t xml:space="preserve">   Cotton Development Administration</t>
  </si>
  <si>
    <t xml:space="preserve">   Fertilizer and Pesticide Authority</t>
  </si>
  <si>
    <t xml:space="preserve">   Fiber Industry Development Authority</t>
  </si>
  <si>
    <t xml:space="preserve">   Livestock Development Council</t>
  </si>
  <si>
    <t xml:space="preserve">   National Agricultural and Fishery Council</t>
  </si>
  <si>
    <t xml:space="preserve">   National Meat Inspection Service</t>
  </si>
  <si>
    <t xml:space="preserve">   Philippine Carabao Center</t>
  </si>
  <si>
    <t xml:space="preserve">   Phil. Center for Post-Harvest Development and Mechanization</t>
  </si>
  <si>
    <t>Department of Budget and Management</t>
  </si>
  <si>
    <t xml:space="preserve">   Government Procurement Policy Board-TSO</t>
  </si>
  <si>
    <t>Department of Education</t>
  </si>
  <si>
    <t>Ros 6,7 &amp; 12-As of June</t>
  </si>
  <si>
    <t xml:space="preserve">   National Book Development Board</t>
  </si>
  <si>
    <t xml:space="preserve">   National Council for Children's Television</t>
  </si>
  <si>
    <t xml:space="preserve">   National Museum</t>
  </si>
  <si>
    <t xml:space="preserve">   Philippine High School for the Arts</t>
  </si>
  <si>
    <t xml:space="preserve">  Early Childhood Care and Development Council</t>
  </si>
  <si>
    <t>State Universities and Colleges</t>
  </si>
  <si>
    <t>Department of Energy</t>
  </si>
  <si>
    <t>Department of Environment and Natural Resources</t>
  </si>
  <si>
    <t xml:space="preserve">   Environmental Management Bureau</t>
  </si>
  <si>
    <t xml:space="preserve">   Mines and Geo-Sciences Bureau</t>
  </si>
  <si>
    <t xml:space="preserve">   National Mapping and Resource Information Authority</t>
  </si>
  <si>
    <t xml:space="preserve">   National Water Resources Board</t>
  </si>
  <si>
    <t xml:space="preserve">   Palawan Council for Sustainable Development Staff</t>
  </si>
  <si>
    <t>Department of Finance</t>
  </si>
  <si>
    <t xml:space="preserve">   Bureau of Customs</t>
  </si>
  <si>
    <t xml:space="preserve">   Bureau of Internal Revenue</t>
  </si>
  <si>
    <t xml:space="preserve">   Bureau of Local Government Finance</t>
  </si>
  <si>
    <t xml:space="preserve">   Bureau of the Treasury</t>
  </si>
  <si>
    <t xml:space="preserve">   Central Board of Assessment Appeals</t>
  </si>
  <si>
    <t xml:space="preserve">   Insurance Commission</t>
  </si>
  <si>
    <t xml:space="preserve">   National Tax Research Center</t>
  </si>
  <si>
    <t xml:space="preserve">   Privatization and Management Office</t>
  </si>
  <si>
    <t xml:space="preserve">   Securities and Exchange Commission</t>
  </si>
  <si>
    <t>Department of Foreign Affairs</t>
  </si>
  <si>
    <t xml:space="preserve">   Foreign Service Institute</t>
  </si>
  <si>
    <t xml:space="preserve">   Technical Cooperation Council of the Philippines</t>
  </si>
  <si>
    <t xml:space="preserve">   UNESCO National Commission of the Philippines</t>
  </si>
  <si>
    <t>Department of Health</t>
  </si>
  <si>
    <t xml:space="preserve">   Commission on Population</t>
  </si>
  <si>
    <t>Department of the Interior and Local Government</t>
  </si>
  <si>
    <t xml:space="preserve">   Bureau of Fire Protection</t>
  </si>
  <si>
    <t xml:space="preserve">   Bureau of Jail Management and Penology</t>
  </si>
  <si>
    <t xml:space="preserve">   Local Government Academy</t>
  </si>
  <si>
    <t xml:space="preserve">   National Police Commission</t>
  </si>
  <si>
    <t xml:space="preserve">   Philippine National Police</t>
  </si>
  <si>
    <t xml:space="preserve">   Philippine Public Safety College</t>
  </si>
  <si>
    <t>Department of Justice</t>
  </si>
  <si>
    <t xml:space="preserve">   Bureau of Corrections</t>
  </si>
  <si>
    <t xml:space="preserve">   Bureau of Immigration</t>
  </si>
  <si>
    <t xml:space="preserve">   Land Registration Authority</t>
  </si>
  <si>
    <t xml:space="preserve">   National Bureau of Investigation</t>
  </si>
  <si>
    <t xml:space="preserve">   Office of the Government Corporate Counsel</t>
  </si>
  <si>
    <t xml:space="preserve">   Office of the Solicitor General</t>
  </si>
  <si>
    <t xml:space="preserve">   Parole and Probation Administration</t>
  </si>
  <si>
    <t xml:space="preserve">   Presidential Commission on Good Government</t>
  </si>
  <si>
    <t xml:space="preserve">   Public Attorney's Office</t>
  </si>
  <si>
    <t>Department of Labor and Employment</t>
  </si>
  <si>
    <t xml:space="preserve">   Institute for Labor Studies</t>
  </si>
  <si>
    <t xml:space="preserve">   National Conciliation and Mediation Board</t>
  </si>
  <si>
    <t xml:space="preserve">   National Labor Relations Commission</t>
  </si>
  <si>
    <t xml:space="preserve">   National Maritime Polytechnic</t>
  </si>
  <si>
    <t xml:space="preserve">   National Wages and Productivity Commission</t>
  </si>
  <si>
    <t xml:space="preserve">   Philippine Overseas Employment Administration</t>
  </si>
  <si>
    <t xml:space="preserve">   Professional Regulation Commission</t>
  </si>
  <si>
    <t xml:space="preserve">   Technical Education and Skills Development Authority</t>
  </si>
  <si>
    <t>Department of National Defense</t>
  </si>
  <si>
    <t xml:space="preserve">   Government Arsenal</t>
  </si>
  <si>
    <t xml:space="preserve">   National Defense College of the Philippines</t>
  </si>
  <si>
    <t xml:space="preserve">   Office of Civil Defense</t>
  </si>
  <si>
    <t xml:space="preserve">   Philippine Veterans Affairs Office (Proper)</t>
  </si>
  <si>
    <t xml:space="preserve">   Veterans Memorial Medical Center</t>
  </si>
  <si>
    <t xml:space="preserve">   Philippine Army</t>
  </si>
  <si>
    <t xml:space="preserve">   Philippine Air Force</t>
  </si>
  <si>
    <t xml:space="preserve">   Philippine Navy</t>
  </si>
  <si>
    <t xml:space="preserve">   General Headquarters</t>
  </si>
  <si>
    <t>Department of Public Works and Highways</t>
  </si>
  <si>
    <t>Department of Science and Technology</t>
  </si>
  <si>
    <t xml:space="preserve">   Advanced Science and Technology Institute</t>
  </si>
  <si>
    <t xml:space="preserve">   Food and Nutrition Research Institute</t>
  </si>
  <si>
    <t xml:space="preserve">   Forest Products Research and Development Institute</t>
  </si>
  <si>
    <t xml:space="preserve">   Industrial Technology Development Institute</t>
  </si>
  <si>
    <t xml:space="preserve">   Information and Communications Technology Office</t>
  </si>
  <si>
    <t xml:space="preserve">   Metals Industry Research and Development Center</t>
  </si>
  <si>
    <t xml:space="preserve">   National Academy of Science and Technology</t>
  </si>
  <si>
    <t xml:space="preserve">   National Research Council of the Philippines</t>
  </si>
  <si>
    <t xml:space="preserve">   Philippine Atmospheric, Geophysical and Astronomical Services Adm.</t>
  </si>
  <si>
    <t>Philippine Council for Agriculture, Aquatic and Natural Resources Research and Development (PCAARRD)</t>
  </si>
  <si>
    <t xml:space="preserve">   Philippine Council for Health Research and Development</t>
  </si>
  <si>
    <t xml:space="preserve">   Philippine Council for Industry, Energy and Emerging Technology Research and Dev't</t>
  </si>
  <si>
    <t xml:space="preserve">   Philippine Institute of Volcanology and Seismology</t>
  </si>
  <si>
    <t xml:space="preserve">   Philippine Nuclear Research Institute</t>
  </si>
  <si>
    <t xml:space="preserve">   Philippine Science High School</t>
  </si>
  <si>
    <t xml:space="preserve">   Philippine Textile Research Institute</t>
  </si>
  <si>
    <t xml:space="preserve">   Science Education Institute</t>
  </si>
  <si>
    <t xml:space="preserve">   Science and Technology Information Institute</t>
  </si>
  <si>
    <t xml:space="preserve">   Technology Application and Promotion Institute</t>
  </si>
  <si>
    <t>Department of Social Welfare and Development</t>
  </si>
  <si>
    <t xml:space="preserve">   Council for the Welfare of Children</t>
  </si>
  <si>
    <t xml:space="preserve">   Inter-Country Adoption Board</t>
  </si>
  <si>
    <t xml:space="preserve">   National Council on Disability Affairs</t>
  </si>
  <si>
    <t xml:space="preserve">   National Youth Commission</t>
  </si>
  <si>
    <t>Department of Tourism</t>
  </si>
  <si>
    <t xml:space="preserve">   Intramuros Administration</t>
  </si>
  <si>
    <t xml:space="preserve">   National Parks Development Committee</t>
  </si>
  <si>
    <t>Department of Trade and Industry</t>
  </si>
  <si>
    <t xml:space="preserve">   Board of Investments</t>
  </si>
  <si>
    <t xml:space="preserve">   Construction Industry Authority of the Philippines</t>
  </si>
  <si>
    <t xml:space="preserve">   Construction Manpower Development Foundation</t>
  </si>
  <si>
    <t xml:space="preserve">   Philippine Trade Training Center</t>
  </si>
  <si>
    <t xml:space="preserve">   Design Center of the Philippines</t>
  </si>
  <si>
    <t>Department of Transportation and Communications</t>
  </si>
  <si>
    <t xml:space="preserve">   Civil Aeronautics Board</t>
  </si>
  <si>
    <t xml:space="preserve">   Maritime Industry Authority</t>
  </si>
  <si>
    <t xml:space="preserve">   Office of Transportation Cooperatives</t>
  </si>
  <si>
    <t xml:space="preserve">   Office for Transportation Security</t>
  </si>
  <si>
    <t xml:space="preserve">   Philippine Coast Guard</t>
  </si>
  <si>
    <t xml:space="preserve">   Toll Regulatory Board</t>
  </si>
  <si>
    <t>National Economic and Development Authority</t>
  </si>
  <si>
    <t xml:space="preserve">   National Statistical Coordination Board</t>
  </si>
  <si>
    <t xml:space="preserve">   Philippine National Volunteer Service Coordinating Agency</t>
  </si>
  <si>
    <t xml:space="preserve">   Public-Private Partnership Center of the Philippines</t>
  </si>
  <si>
    <t xml:space="preserve">   Philippine Statistical Research and Training Institute</t>
  </si>
  <si>
    <t xml:space="preserve">   Tariff Commission</t>
  </si>
  <si>
    <t>Presidential Communications Operations Office</t>
  </si>
  <si>
    <t xml:space="preserve">   Presidential Communications Operations Office (Proper)</t>
  </si>
  <si>
    <t xml:space="preserve">   Bureau of Broadcast Services</t>
  </si>
  <si>
    <t xml:space="preserve">   Bureau of Communications Services</t>
  </si>
  <si>
    <t xml:space="preserve">   News and Information Bureau</t>
  </si>
  <si>
    <t xml:space="preserve">   Philippine Information Agency</t>
  </si>
  <si>
    <t xml:space="preserve">   Presidential Broadcast Staff (RTVM)</t>
  </si>
  <si>
    <t>Other Executive Offices</t>
  </si>
  <si>
    <t xml:space="preserve">   Anti-Money Laundering Council</t>
  </si>
  <si>
    <t xml:space="preserve">   Climate Change Commission</t>
  </si>
  <si>
    <t xml:space="preserve">   Commission on Filipinos Overseas</t>
  </si>
  <si>
    <t xml:space="preserve">   Commission on Higher Education</t>
  </si>
  <si>
    <t xml:space="preserve">   Commission on Filipino Language</t>
  </si>
  <si>
    <t xml:space="preserve">   Dangerous Drugs Board</t>
  </si>
  <si>
    <t xml:space="preserve">   Energy Regulatory Commission</t>
  </si>
  <si>
    <t xml:space="preserve">   Film Development Council of the Philippines</t>
  </si>
  <si>
    <t xml:space="preserve">   Games and Amusements Board</t>
  </si>
  <si>
    <t xml:space="preserve">   Governance Commission for GOCCs</t>
  </si>
  <si>
    <t xml:space="preserve">   Housing and Land Use Regulatory Board</t>
  </si>
  <si>
    <t xml:space="preserve">   Housing and Urban Development Coording Council</t>
  </si>
  <si>
    <t xml:space="preserve">   Mindanao Development Authority</t>
  </si>
  <si>
    <t xml:space="preserve">   Movie and Television Review and Classification Board</t>
  </si>
  <si>
    <t xml:space="preserve">   National Anti-Poverty Commission</t>
  </si>
  <si>
    <t xml:space="preserve">   National Commission for Culture and the Arts-Proper</t>
  </si>
  <si>
    <t xml:space="preserve">   National Historical Commission of the Philippines</t>
  </si>
  <si>
    <t xml:space="preserve">   National Library of the Philippines</t>
  </si>
  <si>
    <t xml:space="preserve">   National Archives of the Philippines</t>
  </si>
  <si>
    <t xml:space="preserve">   National Commission on Muslim Filipinos</t>
  </si>
  <si>
    <t xml:space="preserve">   National Commission on Indigenous Peoples</t>
  </si>
  <si>
    <t xml:space="preserve">   National Intelligence Coordinating Agency</t>
  </si>
  <si>
    <t xml:space="preserve">   National Security Council</t>
  </si>
  <si>
    <t xml:space="preserve">   National Telecommunications Commission</t>
  </si>
  <si>
    <t xml:space="preserve">   Office of the Presidential Adviser on the Peace Process</t>
  </si>
  <si>
    <t xml:space="preserve">   Optical Media Board</t>
  </si>
  <si>
    <t xml:space="preserve">   Philippine Commission on Women</t>
  </si>
  <si>
    <t xml:space="preserve">   Pasig River Rehabilitation Commission</t>
  </si>
  <si>
    <t xml:space="preserve">   Philippine Drug Enforcement Agency</t>
  </si>
  <si>
    <t xml:space="preserve">   Philippine Racing Commission</t>
  </si>
  <si>
    <t xml:space="preserve">   Philippine Sports Commission</t>
  </si>
  <si>
    <t xml:space="preserve">   Philippine Commission for the Urban Poor</t>
  </si>
  <si>
    <t xml:space="preserve">   Presidential Communications Development and Strategic Planning Office</t>
  </si>
  <si>
    <t xml:space="preserve">   Presidential Legislative Liason Office</t>
  </si>
  <si>
    <t xml:space="preserve">   Presidential Management Staff</t>
  </si>
  <si>
    <t>The Judiciary</t>
  </si>
  <si>
    <t xml:space="preserve">   Sandiganbayan</t>
  </si>
  <si>
    <t xml:space="preserve">   Court of Tax Appeals</t>
  </si>
  <si>
    <t>Civil Service Commission</t>
  </si>
  <si>
    <t xml:space="preserve">   Civil Service Commission - Proper</t>
  </si>
  <si>
    <t xml:space="preserve">   Career Executive Service Board</t>
  </si>
  <si>
    <t>Commission on Audit</t>
  </si>
  <si>
    <t>Office of the Ombudsman</t>
  </si>
  <si>
    <t>Commission on Human Rights</t>
  </si>
  <si>
    <t>GRAND TOTAL</t>
  </si>
  <si>
    <t>difference</t>
  </si>
  <si>
    <t>Particulars</t>
  </si>
  <si>
    <t>FY 2014</t>
  </si>
  <si>
    <t>ORIGINAL</t>
  </si>
  <si>
    <t>ADJUSTMENTS</t>
  </si>
  <si>
    <t>ADJUSTED APPROPRIATION</t>
  </si>
  <si>
    <t>ALLOTMENT</t>
  </si>
  <si>
    <t>UNOBLIGATED BALANCES</t>
  </si>
  <si>
    <t>APPROPRIATION</t>
  </si>
  <si>
    <t>TOTAL</t>
  </si>
  <si>
    <t>National Capital Region</t>
  </si>
  <si>
    <t>Marikina Polytechnic College</t>
  </si>
  <si>
    <t>Philippine Normal University</t>
  </si>
  <si>
    <t>Philippine State College of Aeronautics</t>
  </si>
  <si>
    <t>Polytechnic University of the Philippines</t>
  </si>
  <si>
    <t>Rizal Technological University</t>
  </si>
  <si>
    <t>Technological University of the Philippines</t>
  </si>
  <si>
    <t>University of the Philippines System</t>
  </si>
  <si>
    <t>Region I</t>
  </si>
  <si>
    <t>Don Mariano Marcos Memorial State University</t>
  </si>
  <si>
    <t>Ilocos Sur Polytechnic State College</t>
  </si>
  <si>
    <t>Mariano Marcos State University</t>
  </si>
  <si>
    <t>North Luzon Philippine State College</t>
  </si>
  <si>
    <t>Pangasinan State University</t>
  </si>
  <si>
    <t>University of Northern Philippines</t>
  </si>
  <si>
    <t>Cordillera Administrative Region</t>
  </si>
  <si>
    <t>Abra State Institute of Science and Technology</t>
  </si>
  <si>
    <t>Apayao State College</t>
  </si>
  <si>
    <t>Benguet State University</t>
  </si>
  <si>
    <t>Ifugao State University (Ifugao State College of Agriculture and Forestry)</t>
  </si>
  <si>
    <t>Kalinga-Apayao State College</t>
  </si>
  <si>
    <t>Mountain Province State Polytechnic College</t>
  </si>
  <si>
    <t>Region II</t>
  </si>
  <si>
    <t>Batanes State College (Batanes Polytechnic College)</t>
  </si>
  <si>
    <t>Cagayan State University</t>
  </si>
  <si>
    <t>Isabela State University</t>
  </si>
  <si>
    <t>Nueva Vizcaya State University (NVSIT and NVSPC)</t>
  </si>
  <si>
    <t>Quirino State College</t>
  </si>
  <si>
    <t>Region III</t>
  </si>
  <si>
    <t>Aurora State College of Technology</t>
  </si>
  <si>
    <t>Bataan Peninsula State University</t>
  </si>
  <si>
    <t>Bulacan Agricultural State College</t>
  </si>
  <si>
    <t>Bulacan State University</t>
  </si>
  <si>
    <t>Central Luzon State University</t>
  </si>
  <si>
    <t>Don Honorio Ventura Technological State University (DHVCAT)</t>
  </si>
  <si>
    <t>Nueva Ecija University of Science and Technology</t>
  </si>
  <si>
    <t>Pampanga Agricultural College</t>
  </si>
  <si>
    <t>Philippine Merchant Marine Academy</t>
  </si>
  <si>
    <t>Ramon Magsaysay Technological University</t>
  </si>
  <si>
    <t>Tarlac College of Agriculture</t>
  </si>
  <si>
    <t>Tarlac State University</t>
  </si>
  <si>
    <t>Region IV-A</t>
  </si>
  <si>
    <t>Batangas State University</t>
  </si>
  <si>
    <t>Cavite State University</t>
  </si>
  <si>
    <t>Laguna State Polytechnic University (Laguna State Polytechnic College)</t>
  </si>
  <si>
    <t>Southern Luzon State University (Southern Luzon Polytechnic College)</t>
  </si>
  <si>
    <t>University of Rizal System</t>
  </si>
  <si>
    <t>Region IV-B</t>
  </si>
  <si>
    <t>Marinduque State College</t>
  </si>
  <si>
    <t>Mindoro State University (MSCAT)</t>
  </si>
  <si>
    <t>Occidental Mindoro State College (Occidental Mindoro National College)</t>
  </si>
  <si>
    <t>Palawan State University</t>
  </si>
  <si>
    <t>Romblon State University (Romblon State College)</t>
  </si>
  <si>
    <t>Western Philippines University (State Polytechnic College of Palawan)</t>
  </si>
  <si>
    <t>Region V</t>
  </si>
  <si>
    <t>Bicol University</t>
  </si>
  <si>
    <t>Bicol State Colleges of Applied Science and Technologies</t>
  </si>
  <si>
    <t>Camarines Norte State College</t>
  </si>
  <si>
    <t>Camarines Sur Polytechnic Colleges</t>
  </si>
  <si>
    <t>Catanduanes State University</t>
  </si>
  <si>
    <t>Central Bicol State University of Agriculture (Camarines Sur State Agricultural College)</t>
  </si>
  <si>
    <t>Dr. Emilio B. Espinosa, Sr. Memorial State College of Agri. &amp; Tech.</t>
  </si>
  <si>
    <t>Partido State University</t>
  </si>
  <si>
    <t>Sorsogon State College</t>
  </si>
  <si>
    <t>Region VI</t>
  </si>
  <si>
    <t>Aklan State University</t>
  </si>
  <si>
    <t>Capiz State University (Panay State Polytechnic College)</t>
  </si>
  <si>
    <t>Carlos C. Hilado Memorial State College</t>
  </si>
  <si>
    <t>Guimaras State College</t>
  </si>
  <si>
    <t>Iloilo State University of Science and Technology (ISCOF)</t>
  </si>
  <si>
    <t>Central Phil. State University (NSCA)</t>
  </si>
  <si>
    <t>Northern Iloilo Polytechnic State College</t>
  </si>
  <si>
    <t>Northern Negros State College of Science and Technology</t>
  </si>
  <si>
    <t>University of Antique</t>
  </si>
  <si>
    <t>Iloilo Science and Technology University (WVCST)</t>
  </si>
  <si>
    <t>West Visayas State University</t>
  </si>
  <si>
    <t>Region VII</t>
  </si>
  <si>
    <t>Bohol Island State University (Central Visayas State College of Agri., Forestry &amp; Technology)</t>
  </si>
  <si>
    <t>Cebu Normal University</t>
  </si>
  <si>
    <t>Cebu Technological University (Cebu State College of Science and Technology)</t>
  </si>
  <si>
    <t>Negros Oriental State University (Central Visayas Polytechnic Coll.)</t>
  </si>
  <si>
    <t>Siquijor State College</t>
  </si>
  <si>
    <t>Region VIII</t>
  </si>
  <si>
    <t>Eastern Samar State University</t>
  </si>
  <si>
    <t>Eastern Visayas State University (Leyte Institute of Technology)</t>
  </si>
  <si>
    <t>Leyte Normal University</t>
  </si>
  <si>
    <t>Naval State University (Naval Institute of Technology)</t>
  </si>
  <si>
    <t>Northwest Samar State University(TTMIST and SSCAF)</t>
  </si>
  <si>
    <t>Palompon Institute of Technology</t>
  </si>
  <si>
    <t>Samar State University (Samar State Polytechnic College)</t>
  </si>
  <si>
    <t>Southern Leyte State University (Southern Leyte College of Science &amp; TONC)</t>
  </si>
  <si>
    <t>University of Eastern Philippines</t>
  </si>
  <si>
    <t>Visayas State University (Leyte State University)</t>
  </si>
  <si>
    <t>Region IX</t>
  </si>
  <si>
    <t>J.H. Cerilles State College</t>
  </si>
  <si>
    <t>Jose Rizal Memorial State University (Jose Rizal Memorial State College)</t>
  </si>
  <si>
    <t>Western Mindanao State University</t>
  </si>
  <si>
    <t>Zamboanga City State Polytechnic College</t>
  </si>
  <si>
    <t>Zamboanga State College of Marine Sciences and Technology</t>
  </si>
  <si>
    <t>Basilan State College</t>
  </si>
  <si>
    <t>MSU Tawi-Tawi College of Technology and Oceanography</t>
  </si>
  <si>
    <t>Sulu State College</t>
  </si>
  <si>
    <t>Tawi-Tawi Regional Agricultural College</t>
  </si>
  <si>
    <t>Region X</t>
  </si>
  <si>
    <t>Bukidnon State College</t>
  </si>
  <si>
    <t>Camiguin Polytechnic State College</t>
  </si>
  <si>
    <t>Central Mindano University</t>
  </si>
  <si>
    <t>Mindanao University of Science &amp; Technology (Mindanao Polytechnic State College)</t>
  </si>
  <si>
    <t>MSU - Iligan Institute of Technology</t>
  </si>
  <si>
    <t>Misamis Oriental State College of Agriculture and Technology</t>
  </si>
  <si>
    <t>Northwestern Mindanao State College of Science and Technology</t>
  </si>
  <si>
    <t>Region XI</t>
  </si>
  <si>
    <t>Davao del Norte State College</t>
  </si>
  <si>
    <t>Davao Oriental State College of Science and Technology</t>
  </si>
  <si>
    <t>Southern Philippines Agri-Business and Marine and Aquatic Sch. of Tech.</t>
  </si>
  <si>
    <t>University of Southeastern Philippines</t>
  </si>
  <si>
    <t>Region XII</t>
  </si>
  <si>
    <t>Cotabato City State Polytechnic College</t>
  </si>
  <si>
    <t>Cotabato Foundation College of Science and Technology</t>
  </si>
  <si>
    <t>Sultan Kudarat State University (Sultan Kudarat Polytechnic State College)</t>
  </si>
  <si>
    <t>University of Southern Mindanao</t>
  </si>
  <si>
    <t>Adiong Memorial Polytechnic State College</t>
  </si>
  <si>
    <t>Mindanao State University</t>
  </si>
  <si>
    <t>Region XIII</t>
  </si>
  <si>
    <t>Agusan del Sur State College of Agriculture and Technology</t>
  </si>
  <si>
    <t>Caraga State University (Northern Mindanao State Institute of Science and Technology)</t>
  </si>
  <si>
    <t>Surigao del Sur State University (Surigao del Sur Polytechnic State College)</t>
  </si>
  <si>
    <t>Surigao State College of Technology</t>
  </si>
  <si>
    <t>Allocation for Capital Outlays of SUCs</t>
  </si>
  <si>
    <t>SPF</t>
  </si>
  <si>
    <t>Auto</t>
  </si>
  <si>
    <t>AS OF DECEMBER 31, 2014</t>
  </si>
  <si>
    <t xml:space="preserve">   Commission on Appointments *</t>
  </si>
  <si>
    <t>* Obligation as of September 2014</t>
  </si>
  <si>
    <t xml:space="preserve">   Cooperative Development Authority *</t>
  </si>
  <si>
    <t xml:space="preserve">   Juvenile Justice and Welfare Council</t>
  </si>
  <si>
    <t xml:space="preserve">   Office of the Director-General *</t>
  </si>
  <si>
    <t xml:space="preserve">   National Nutrition Council </t>
  </si>
  <si>
    <t xml:space="preserve">   Philippine Statistics Authority</t>
  </si>
  <si>
    <t>Joint Legislative-Executive Councils *</t>
  </si>
  <si>
    <t xml:space="preserve">   Supreme Court of the Phils and the Lower Courts *</t>
  </si>
  <si>
    <t xml:space="preserve">   Presidential Electoral Tribunal *</t>
  </si>
  <si>
    <t xml:space="preserve">   Court of Appeals *</t>
  </si>
  <si>
    <t>Commission on Elections *</t>
  </si>
  <si>
    <t>AS OF DECEMBER</t>
  </si>
  <si>
    <t>AS OF SEPT. 30, 2014</t>
  </si>
  <si>
    <t>MSU SUMMARY</t>
  </si>
  <si>
    <t>MSU</t>
  </si>
  <si>
    <t>GENSAN</t>
  </si>
  <si>
    <t>MAGUINDANAO</t>
  </si>
  <si>
    <t>MARAWI</t>
  </si>
  <si>
    <t>NAAWAN</t>
  </si>
  <si>
    <t>SULU</t>
  </si>
  <si>
    <t>As of December 31, 2014</t>
  </si>
  <si>
    <t>As of September 30, 2014</t>
  </si>
  <si>
    <t xml:space="preserve">   National Printing Office *</t>
  </si>
  <si>
    <t>Eulogio Amang Rodriguez Inst. of Science and Tech.*</t>
  </si>
  <si>
    <t xml:space="preserve">Autonomous Region in Muslim Mindanao 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</si>
</sst>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0">
    <font>
      <sz val="10"/>
      <color indexed="72"/>
      <name val="Arial"/>
    </font>
    <font>
      <sz val="10"/>
      <color indexed="7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 Narrow"/>
      <family val="2"/>
    </font>
    <font>
      <i/>
      <sz val="10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10"/>
      <color indexed="72"/>
      <name val="Arial Narrow"/>
      <family val="2"/>
    </font>
    <font>
      <sz val="10"/>
      <color indexed="72"/>
      <name val="Arial Narrow"/>
      <family val="2"/>
    </font>
    <font>
      <b/>
      <sz val="9"/>
      <color indexed="72"/>
      <name val="Arial Narrow"/>
      <family val="2"/>
    </font>
    <font>
      <b/>
      <sz val="8"/>
      <color indexed="72"/>
      <name val="Arial Narrow"/>
      <family val="2"/>
    </font>
    <font>
      <b/>
      <sz val="10"/>
      <color indexed="49"/>
      <name val="Arial Narrow"/>
      <family val="2"/>
    </font>
    <font>
      <sz val="10"/>
      <color indexed="17"/>
      <name val="Arial Narrow"/>
      <family val="2"/>
    </font>
    <font>
      <sz val="10"/>
      <color rgb="FF00B0F0"/>
      <name val="Arial Narrow"/>
      <family val="2"/>
    </font>
    <font>
      <sz val="8"/>
      <color indexed="72"/>
      <name val="Arial Narrow"/>
      <family val="2"/>
    </font>
    <font>
      <sz val="9"/>
      <color indexed="72"/>
      <name val="Arial Narrow"/>
      <family val="2"/>
    </font>
    <font>
      <sz val="9"/>
      <color indexed="12"/>
      <name val="Arial Narrow"/>
      <family val="2"/>
    </font>
    <font>
      <vertAlign val="superscript"/>
      <sz val="8"/>
      <color indexed="72"/>
      <name val="Arial Narrow"/>
      <family val="2"/>
    </font>
    <font>
      <sz val="7"/>
      <color indexed="72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271">
    <xf numFmtId="0" fontId="0" fillId="0" borderId="0" xfId="0"/>
    <xf numFmtId="164" fontId="2" fillId="2" borderId="0" xfId="1" applyNumberFormat="1" applyFont="1" applyFill="1" applyBorder="1"/>
    <xf numFmtId="164" fontId="3" fillId="2" borderId="0" xfId="1" applyNumberFormat="1" applyFont="1" applyFill="1"/>
    <xf numFmtId="164" fontId="4" fillId="2" borderId="0" xfId="1" applyNumberFormat="1" applyFont="1" applyFill="1"/>
    <xf numFmtId="164" fontId="5" fillId="2" borderId="0" xfId="1" applyNumberFormat="1" applyFont="1" applyFill="1"/>
    <xf numFmtId="164" fontId="3" fillId="0" borderId="0" xfId="1" applyNumberFormat="1" applyFont="1" applyFill="1"/>
    <xf numFmtId="164" fontId="8" fillId="0" borderId="10" xfId="1" applyNumberFormat="1" applyFont="1" applyFill="1" applyBorder="1" applyAlignment="1">
      <alignment horizontal="center"/>
    </xf>
    <xf numFmtId="164" fontId="2" fillId="0" borderId="10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left" wrapText="1"/>
    </xf>
    <xf numFmtId="164" fontId="3" fillId="0" borderId="4" xfId="1" applyNumberFormat="1" applyFont="1" applyFill="1" applyBorder="1"/>
    <xf numFmtId="43" fontId="3" fillId="0" borderId="2" xfId="1" applyNumberFormat="1" applyFont="1" applyFill="1" applyBorder="1"/>
    <xf numFmtId="43" fontId="4" fillId="0" borderId="2" xfId="1" applyNumberFormat="1" applyFont="1" applyFill="1" applyBorder="1"/>
    <xf numFmtId="164" fontId="4" fillId="0" borderId="2" xfId="1" applyNumberFormat="1" applyFont="1" applyFill="1" applyBorder="1"/>
    <xf numFmtId="164" fontId="3" fillId="0" borderId="2" xfId="1" applyNumberFormat="1" applyFont="1" applyFill="1" applyBorder="1"/>
    <xf numFmtId="164" fontId="3" fillId="0" borderId="1" xfId="1" applyNumberFormat="1" applyFont="1" applyFill="1" applyBorder="1"/>
    <xf numFmtId="0" fontId="9" fillId="0" borderId="12" xfId="0" applyFont="1" applyBorder="1"/>
    <xf numFmtId="164" fontId="3" fillId="0" borderId="9" xfId="2" applyNumberFormat="1" applyFont="1" applyFill="1" applyBorder="1" applyAlignment="1" applyProtection="1">
      <alignment horizontal="left" wrapText="1"/>
    </xf>
    <xf numFmtId="10" fontId="3" fillId="0" borderId="5" xfId="1" applyNumberFormat="1" applyFont="1" applyFill="1" applyBorder="1"/>
    <xf numFmtId="0" fontId="3" fillId="0" borderId="12" xfId="0" applyFont="1" applyBorder="1"/>
    <xf numFmtId="164" fontId="3" fillId="0" borderId="11" xfId="2" applyNumberFormat="1" applyFont="1" applyFill="1" applyBorder="1" applyAlignment="1" applyProtection="1">
      <alignment horizontal="left" wrapText="1"/>
    </xf>
    <xf numFmtId="164" fontId="3" fillId="0" borderId="10" xfId="2" applyNumberFormat="1" applyFont="1" applyFill="1" applyBorder="1" applyAlignment="1" applyProtection="1">
      <alignment horizontal="left" wrapText="1"/>
    </xf>
    <xf numFmtId="164" fontId="3" fillId="0" borderId="5" xfId="1" applyNumberFormat="1" applyFont="1" applyFill="1" applyBorder="1" applyAlignment="1">
      <alignment horizontal="left" wrapText="1"/>
    </xf>
    <xf numFmtId="164" fontId="3" fillId="0" borderId="12" xfId="1" applyNumberFormat="1" applyFont="1" applyFill="1" applyBorder="1" applyAlignment="1">
      <alignment horizontal="left" wrapText="1"/>
    </xf>
    <xf numFmtId="41" fontId="3" fillId="0" borderId="12" xfId="1" applyNumberFormat="1" applyFont="1" applyFill="1" applyBorder="1" applyAlignment="1">
      <alignment horizontal="left" wrapText="1"/>
    </xf>
    <xf numFmtId="41" fontId="3" fillId="0" borderId="12" xfId="1" applyNumberFormat="1" applyFont="1" applyFill="1" applyBorder="1"/>
    <xf numFmtId="41" fontId="3" fillId="0" borderId="5" xfId="1" applyNumberFormat="1" applyFont="1" applyFill="1" applyBorder="1" applyAlignment="1">
      <alignment horizontal="left" wrapText="1"/>
    </xf>
    <xf numFmtId="41" fontId="3" fillId="0" borderId="6" xfId="1" quotePrefix="1" applyNumberFormat="1" applyFont="1" applyFill="1" applyBorder="1" applyAlignment="1">
      <alignment horizontal="left" wrapText="1"/>
    </xf>
    <xf numFmtId="41" fontId="3" fillId="0" borderId="9" xfId="1" quotePrefix="1" applyNumberFormat="1" applyFont="1" applyFill="1" applyBorder="1" applyAlignment="1">
      <alignment horizontal="left" wrapText="1"/>
    </xf>
    <xf numFmtId="41" fontId="3" fillId="0" borderId="12" xfId="1" quotePrefix="1" applyNumberFormat="1" applyFont="1" applyFill="1" applyBorder="1" applyAlignment="1">
      <alignment horizontal="left" wrapText="1"/>
    </xf>
    <xf numFmtId="41" fontId="3" fillId="0" borderId="5" xfId="1" quotePrefix="1" applyNumberFormat="1" applyFont="1" applyFill="1" applyBorder="1" applyAlignment="1">
      <alignment horizontal="left" wrapText="1"/>
    </xf>
    <xf numFmtId="41" fontId="4" fillId="0" borderId="12" xfId="1" quotePrefix="1" applyNumberFormat="1" applyFont="1" applyFill="1" applyBorder="1" applyAlignment="1">
      <alignment horizontal="left" wrapText="1"/>
    </xf>
    <xf numFmtId="41" fontId="4" fillId="0" borderId="12" xfId="1" applyNumberFormat="1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/>
    </xf>
    <xf numFmtId="41" fontId="2" fillId="0" borderId="12" xfId="1" quotePrefix="1" applyNumberFormat="1" applyFont="1" applyFill="1" applyBorder="1" applyAlignment="1">
      <alignment horizontal="left" wrapText="1"/>
    </xf>
    <xf numFmtId="41" fontId="2" fillId="0" borderId="5" xfId="1" quotePrefix="1" applyNumberFormat="1" applyFont="1" applyFill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164" fontId="4" fillId="0" borderId="9" xfId="2" applyNumberFormat="1" applyFont="1" applyFill="1" applyBorder="1" applyAlignment="1" applyProtection="1">
      <alignment horizontal="left" wrapText="1"/>
    </xf>
    <xf numFmtId="164" fontId="4" fillId="0" borderId="11" xfId="2" applyNumberFormat="1" applyFont="1" applyFill="1" applyBorder="1" applyAlignment="1" applyProtection="1">
      <alignment horizontal="left" wrapText="1"/>
    </xf>
    <xf numFmtId="41" fontId="11" fillId="0" borderId="12" xfId="1" quotePrefix="1" applyNumberFormat="1" applyFont="1" applyFill="1" applyBorder="1" applyAlignment="1">
      <alignment horizontal="left" wrapText="1"/>
    </xf>
    <xf numFmtId="41" fontId="4" fillId="0" borderId="6" xfId="1" quotePrefix="1" applyNumberFormat="1" applyFont="1" applyFill="1" applyBorder="1" applyAlignment="1">
      <alignment horizontal="left" wrapText="1"/>
    </xf>
    <xf numFmtId="0" fontId="3" fillId="0" borderId="12" xfId="0" applyFont="1" applyFill="1" applyBorder="1"/>
    <xf numFmtId="0" fontId="9" fillId="0" borderId="12" xfId="0" applyFont="1" applyFill="1" applyBorder="1"/>
    <xf numFmtId="41" fontId="3" fillId="0" borderId="5" xfId="1" applyNumberFormat="1" applyFont="1" applyFill="1" applyBorder="1"/>
    <xf numFmtId="41" fontId="3" fillId="0" borderId="6" xfId="1" applyNumberFormat="1" applyFont="1" applyFill="1" applyBorder="1"/>
    <xf numFmtId="41" fontId="3" fillId="0" borderId="9" xfId="1" applyNumberFormat="1" applyFont="1" applyFill="1" applyBorder="1"/>
    <xf numFmtId="164" fontId="12" fillId="0" borderId="5" xfId="1" applyNumberFormat="1" applyFont="1" applyFill="1" applyBorder="1" applyAlignment="1">
      <alignment horizontal="left" wrapText="1"/>
    </xf>
    <xf numFmtId="41" fontId="4" fillId="0" borderId="12" xfId="1" applyNumberFormat="1" applyFont="1" applyFill="1" applyBorder="1"/>
    <xf numFmtId="164" fontId="3" fillId="0" borderId="12" xfId="1" applyNumberFormat="1" applyFont="1" applyFill="1" applyBorder="1"/>
    <xf numFmtId="164" fontId="4" fillId="0" borderId="0" xfId="1" applyNumberFormat="1" applyFont="1" applyFill="1"/>
    <xf numFmtId="43" fontId="3" fillId="0" borderId="0" xfId="1" applyNumberFormat="1" applyFont="1" applyFill="1"/>
    <xf numFmtId="43" fontId="2" fillId="0" borderId="0" xfId="1" applyNumberFormat="1" applyFont="1" applyFill="1"/>
    <xf numFmtId="164" fontId="2" fillId="0" borderId="0" xfId="1" applyNumberFormat="1" applyFont="1" applyFill="1"/>
    <xf numFmtId="164" fontId="12" fillId="0" borderId="12" xfId="1" applyNumberFormat="1" applyFont="1" applyFill="1" applyBorder="1" applyAlignment="1">
      <alignment horizontal="left" wrapText="1"/>
    </xf>
    <xf numFmtId="0" fontId="9" fillId="0" borderId="0" xfId="0" applyFont="1" applyBorder="1" applyAlignment="1"/>
    <xf numFmtId="164" fontId="3" fillId="0" borderId="0" xfId="1" applyNumberFormat="1" applyFont="1" applyFill="1" applyBorder="1" applyAlignment="1"/>
    <xf numFmtId="10" fontId="3" fillId="0" borderId="5" xfId="1" applyNumberFormat="1" applyFont="1" applyFill="1" applyBorder="1" applyAlignment="1"/>
    <xf numFmtId="0" fontId="9" fillId="0" borderId="5" xfId="0" applyFont="1" applyFill="1" applyBorder="1" applyAlignment="1">
      <alignment horizontal="left"/>
    </xf>
    <xf numFmtId="0" fontId="3" fillId="0" borderId="5" xfId="0" applyFont="1" applyFill="1" applyBorder="1"/>
    <xf numFmtId="0" fontId="9" fillId="0" borderId="5" xfId="0" applyFont="1" applyFill="1" applyBorder="1"/>
    <xf numFmtId="164" fontId="14" fillId="0" borderId="0" xfId="1" applyNumberFormat="1" applyFont="1" applyFill="1"/>
    <xf numFmtId="10" fontId="14" fillId="0" borderId="5" xfId="1" applyNumberFormat="1" applyFont="1" applyFill="1" applyBorder="1"/>
    <xf numFmtId="164" fontId="3" fillId="0" borderId="6" xfId="2" applyNumberFormat="1" applyFont="1" applyFill="1" applyBorder="1" applyAlignment="1" applyProtection="1">
      <alignment horizontal="left" wrapText="1"/>
    </xf>
    <xf numFmtId="41" fontId="4" fillId="0" borderId="5" xfId="1" applyNumberFormat="1" applyFont="1" applyFill="1" applyBorder="1"/>
    <xf numFmtId="0" fontId="9" fillId="0" borderId="12" xfId="0" applyNumberFormat="1" applyFont="1" applyFill="1" applyBorder="1" applyAlignment="1"/>
    <xf numFmtId="164" fontId="3" fillId="0" borderId="9" xfId="1" applyNumberFormat="1" applyFont="1" applyFill="1" applyBorder="1" applyAlignment="1">
      <alignment horizontal="left" wrapText="1"/>
    </xf>
    <xf numFmtId="0" fontId="3" fillId="0" borderId="12" xfId="1" applyNumberFormat="1" applyFont="1" applyFill="1" applyBorder="1" applyAlignment="1"/>
    <xf numFmtId="164" fontId="3" fillId="0" borderId="6" xfId="1" applyNumberFormat="1" applyFont="1" applyFill="1" applyBorder="1" applyAlignment="1">
      <alignment horizontal="left" wrapText="1"/>
    </xf>
    <xf numFmtId="41" fontId="3" fillId="0" borderId="12" xfId="1" applyNumberFormat="1" applyFont="1" applyFill="1" applyBorder="1" applyAlignment="1"/>
    <xf numFmtId="41" fontId="3" fillId="0" borderId="5" xfId="1" applyNumberFormat="1" applyFont="1" applyFill="1" applyBorder="1" applyAlignment="1"/>
    <xf numFmtId="41" fontId="3" fillId="0" borderId="6" xfId="1" applyNumberFormat="1" applyFont="1" applyFill="1" applyBorder="1" applyAlignment="1"/>
    <xf numFmtId="41" fontId="3" fillId="0" borderId="9" xfId="1" applyNumberFormat="1" applyFont="1" applyFill="1" applyBorder="1" applyAlignment="1"/>
    <xf numFmtId="164" fontId="9" fillId="0" borderId="5" xfId="1" applyNumberFormat="1" applyFont="1" applyFill="1" applyBorder="1" applyAlignment="1">
      <alignment horizontal="left"/>
    </xf>
    <xf numFmtId="164" fontId="3" fillId="0" borderId="0" xfId="1" quotePrefix="1" applyNumberFormat="1" applyFont="1" applyFill="1"/>
    <xf numFmtId="41" fontId="4" fillId="0" borderId="9" xfId="1" applyNumberFormat="1" applyFont="1" applyFill="1" applyBorder="1"/>
    <xf numFmtId="41" fontId="3" fillId="0" borderId="9" xfId="1" applyNumberFormat="1" applyFont="1" applyFill="1" applyBorder="1" applyAlignment="1">
      <alignment horizontal="left" wrapText="1"/>
    </xf>
    <xf numFmtId="10" fontId="3" fillId="0" borderId="9" xfId="1" applyNumberFormat="1" applyFont="1" applyFill="1" applyBorder="1"/>
    <xf numFmtId="41" fontId="3" fillId="0" borderId="6" xfId="1" applyNumberFormat="1" applyFont="1" applyFill="1" applyBorder="1" applyAlignment="1">
      <alignment horizontal="left" wrapText="1"/>
    </xf>
    <xf numFmtId="41" fontId="3" fillId="0" borderId="0" xfId="1" applyNumberFormat="1" applyFont="1" applyFill="1" applyBorder="1"/>
    <xf numFmtId="41" fontId="4" fillId="0" borderId="0" xfId="1" applyNumberFormat="1" applyFont="1" applyFill="1" applyBorder="1"/>
    <xf numFmtId="164" fontId="3" fillId="0" borderId="0" xfId="1" applyNumberFormat="1" applyFont="1" applyBorder="1"/>
    <xf numFmtId="164" fontId="3" fillId="0" borderId="13" xfId="1" applyNumberFormat="1" applyFont="1" applyBorder="1"/>
    <xf numFmtId="41" fontId="4" fillId="0" borderId="6" xfId="1" applyNumberFormat="1" applyFont="1" applyFill="1" applyBorder="1" applyAlignment="1">
      <alignment horizontal="left" wrapText="1"/>
    </xf>
    <xf numFmtId="164" fontId="12" fillId="0" borderId="9" xfId="1" applyNumberFormat="1" applyFont="1" applyFill="1" applyBorder="1" applyAlignment="1">
      <alignment horizontal="left" wrapText="1"/>
    </xf>
    <xf numFmtId="41" fontId="4" fillId="0" borderId="6" xfId="1" applyNumberFormat="1" applyFont="1" applyFill="1" applyBorder="1"/>
    <xf numFmtId="164" fontId="12" fillId="0" borderId="6" xfId="1" applyNumberFormat="1" applyFont="1" applyFill="1" applyBorder="1" applyAlignment="1">
      <alignment horizontal="left" wrapText="1"/>
    </xf>
    <xf numFmtId="164" fontId="16" fillId="2" borderId="0" xfId="1" applyNumberFormat="1" applyFont="1" applyFill="1" applyBorder="1"/>
    <xf numFmtId="0" fontId="17" fillId="2" borderId="0" xfId="0" applyFont="1" applyFill="1" applyBorder="1"/>
    <xf numFmtId="164" fontId="18" fillId="5" borderId="5" xfId="1" applyNumberFormat="1" applyFont="1" applyFill="1" applyBorder="1" applyAlignment="1">
      <alignment horizontal="center" wrapText="1"/>
    </xf>
    <xf numFmtId="164" fontId="18" fillId="5" borderId="9" xfId="1" applyNumberFormat="1" applyFont="1" applyFill="1" applyBorder="1" applyAlignment="1">
      <alignment horizontal="center" wrapText="1"/>
    </xf>
    <xf numFmtId="164" fontId="16" fillId="2" borderId="10" xfId="1" applyNumberFormat="1" applyFont="1" applyFill="1" applyBorder="1" applyAlignment="1">
      <alignment horizontal="center" wrapText="1"/>
    </xf>
    <xf numFmtId="164" fontId="16" fillId="0" borderId="10" xfId="1" applyNumberFormat="1" applyFont="1" applyBorder="1" applyAlignment="1">
      <alignment horizontal="center" wrapText="1"/>
    </xf>
    <xf numFmtId="0" fontId="17" fillId="0" borderId="0" xfId="0" applyFont="1" applyBorder="1"/>
    <xf numFmtId="0" fontId="16" fillId="0" borderId="1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7" fillId="0" borderId="1" xfId="1" applyNumberFormat="1" applyFont="1" applyBorder="1"/>
    <xf numFmtId="164" fontId="16" fillId="0" borderId="1" xfId="1" applyNumberFormat="1" applyFont="1" applyFill="1" applyBorder="1" applyAlignment="1">
      <alignment horizontal="center"/>
    </xf>
    <xf numFmtId="164" fontId="16" fillId="0" borderId="0" xfId="1" applyNumberFormat="1" applyFont="1" applyFill="1" applyBorder="1" applyAlignment="1">
      <alignment horizontal="center"/>
    </xf>
    <xf numFmtId="164" fontId="17" fillId="0" borderId="0" xfId="1" applyNumberFormat="1" applyFont="1" applyBorder="1"/>
    <xf numFmtId="164" fontId="17" fillId="0" borderId="4" xfId="1" applyNumberFormat="1" applyFont="1" applyBorder="1"/>
    <xf numFmtId="0" fontId="17" fillId="0" borderId="1" xfId="0" applyFont="1" applyBorder="1"/>
    <xf numFmtId="0" fontId="20" fillId="0" borderId="12" xfId="0" applyFont="1" applyBorder="1" applyAlignment="1"/>
    <xf numFmtId="41" fontId="17" fillId="0" borderId="9" xfId="1" applyNumberFormat="1" applyFont="1" applyBorder="1"/>
    <xf numFmtId="41" fontId="3" fillId="0" borderId="7" xfId="1" applyNumberFormat="1" applyFont="1" applyFill="1" applyBorder="1"/>
    <xf numFmtId="41" fontId="17" fillId="0" borderId="7" xfId="1" applyNumberFormat="1" applyFont="1" applyBorder="1"/>
    <xf numFmtId="41" fontId="17" fillId="0" borderId="8" xfId="1" applyNumberFormat="1" applyFont="1" applyBorder="1"/>
    <xf numFmtId="10" fontId="17" fillId="0" borderId="5" xfId="0" applyNumberFormat="1" applyFont="1" applyBorder="1"/>
    <xf numFmtId="0" fontId="17" fillId="0" borderId="12" xfId="0" applyFont="1" applyBorder="1"/>
    <xf numFmtId="41" fontId="17" fillId="0" borderId="10" xfId="1" applyNumberFormat="1" applyFont="1" applyBorder="1"/>
    <xf numFmtId="41" fontId="3" fillId="0" borderId="10" xfId="1" applyNumberFormat="1" applyFont="1" applyFill="1" applyBorder="1"/>
    <xf numFmtId="41" fontId="3" fillId="0" borderId="14" xfId="1" applyNumberFormat="1" applyFont="1" applyFill="1" applyBorder="1"/>
    <xf numFmtId="41" fontId="17" fillId="0" borderId="14" xfId="1" applyNumberFormat="1" applyFont="1" applyBorder="1"/>
    <xf numFmtId="41" fontId="17" fillId="0" borderId="15" xfId="1" applyNumberFormat="1" applyFont="1" applyBorder="1"/>
    <xf numFmtId="164" fontId="17" fillId="0" borderId="12" xfId="1" applyNumberFormat="1" applyFont="1" applyFill="1" applyBorder="1" applyAlignment="1">
      <alignment horizontal="left" wrapText="1"/>
    </xf>
    <xf numFmtId="41" fontId="17" fillId="0" borderId="5" xfId="1" applyNumberFormat="1" applyFont="1" applyBorder="1"/>
    <xf numFmtId="41" fontId="17" fillId="0" borderId="0" xfId="1" applyNumberFormat="1" applyFont="1" applyBorder="1"/>
    <xf numFmtId="41" fontId="17" fillId="0" borderId="13" xfId="1" applyNumberFormat="1" applyFont="1" applyBorder="1"/>
    <xf numFmtId="0" fontId="20" fillId="0" borderId="5" xfId="0" applyFont="1" applyBorder="1" applyAlignment="1"/>
    <xf numFmtId="41" fontId="21" fillId="0" borderId="5" xfId="1" applyNumberFormat="1" applyFont="1" applyFill="1" applyBorder="1"/>
    <xf numFmtId="41" fontId="21" fillId="0" borderId="0" xfId="1" applyNumberFormat="1" applyFont="1" applyFill="1" applyBorder="1"/>
    <xf numFmtId="0" fontId="16" fillId="0" borderId="12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41" fontId="22" fillId="0" borderId="5" xfId="1" applyNumberFormat="1" applyFont="1" applyFill="1" applyBorder="1"/>
    <xf numFmtId="41" fontId="22" fillId="0" borderId="0" xfId="1" applyNumberFormat="1" applyFont="1" applyFill="1" applyBorder="1"/>
    <xf numFmtId="41" fontId="13" fillId="0" borderId="9" xfId="1" applyNumberFormat="1" applyFont="1" applyFill="1" applyBorder="1"/>
    <xf numFmtId="41" fontId="13" fillId="0" borderId="7" xfId="1" applyNumberFormat="1" applyFont="1" applyFill="1" applyBorder="1"/>
    <xf numFmtId="0" fontId="17" fillId="0" borderId="12" xfId="0" applyFont="1" applyFill="1" applyBorder="1"/>
    <xf numFmtId="41" fontId="13" fillId="0" borderId="10" xfId="1" applyNumberFormat="1" applyFont="1" applyFill="1" applyBorder="1"/>
    <xf numFmtId="41" fontId="13" fillId="0" borderId="14" xfId="1" applyNumberFormat="1" applyFont="1" applyFill="1" applyBorder="1"/>
    <xf numFmtId="41" fontId="13" fillId="0" borderId="5" xfId="1" applyNumberFormat="1" applyFont="1" applyFill="1" applyBorder="1"/>
    <xf numFmtId="41" fontId="13" fillId="0" borderId="0" xfId="1" applyNumberFormat="1" applyFont="1" applyFill="1" applyBorder="1"/>
    <xf numFmtId="0" fontId="16" fillId="0" borderId="12" xfId="0" applyFont="1" applyFill="1" applyBorder="1" applyProtection="1">
      <protection locked="0"/>
    </xf>
    <xf numFmtId="0" fontId="17" fillId="0" borderId="12" xfId="0" applyFont="1" applyFill="1" applyBorder="1" applyProtection="1">
      <protection locked="0"/>
    </xf>
    <xf numFmtId="0" fontId="17" fillId="0" borderId="5" xfId="0" applyFont="1" applyFill="1" applyBorder="1" applyProtection="1">
      <protection locked="0"/>
    </xf>
    <xf numFmtId="0" fontId="16" fillId="0" borderId="12" xfId="0" applyFont="1" applyFill="1" applyBorder="1"/>
    <xf numFmtId="164" fontId="17" fillId="0" borderId="0" xfId="1" applyNumberFormat="1" applyFont="1" applyFill="1"/>
    <xf numFmtId="0" fontId="17" fillId="0" borderId="5" xfId="0" applyFont="1" applyFill="1" applyBorder="1"/>
    <xf numFmtId="41" fontId="4" fillId="0" borderId="7" xfId="1" applyNumberFormat="1" applyFont="1" applyFill="1" applyBorder="1"/>
    <xf numFmtId="41" fontId="3" fillId="0" borderId="9" xfId="1" applyNumberFormat="1" applyFont="1" applyBorder="1"/>
    <xf numFmtId="41" fontId="3" fillId="0" borderId="8" xfId="1" applyNumberFormat="1" applyFont="1" applyBorder="1"/>
    <xf numFmtId="41" fontId="3" fillId="0" borderId="10" xfId="1" applyNumberFormat="1" applyFont="1" applyBorder="1"/>
    <xf numFmtId="41" fontId="3" fillId="0" borderId="15" xfId="1" applyNumberFormat="1" applyFont="1" applyBorder="1"/>
    <xf numFmtId="41" fontId="3" fillId="0" borderId="5" xfId="1" applyNumberFormat="1" applyFont="1" applyBorder="1"/>
    <xf numFmtId="41" fontId="3" fillId="0" borderId="13" xfId="1" applyNumberFormat="1" applyFont="1" applyBorder="1"/>
    <xf numFmtId="0" fontId="20" fillId="0" borderId="12" xfId="0" applyFont="1" applyFill="1" applyBorder="1"/>
    <xf numFmtId="0" fontId="20" fillId="0" borderId="5" xfId="0" applyFont="1" applyFill="1" applyBorder="1"/>
    <xf numFmtId="41" fontId="17" fillId="8" borderId="5" xfId="1" applyNumberFormat="1" applyFont="1" applyFill="1" applyBorder="1"/>
    <xf numFmtId="41" fontId="17" fillId="0" borderId="5" xfId="1" applyNumberFormat="1" applyFont="1" applyFill="1" applyBorder="1"/>
    <xf numFmtId="0" fontId="20" fillId="0" borderId="12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41" fontId="4" fillId="0" borderId="10" xfId="1" applyNumberFormat="1" applyFont="1" applyFill="1" applyBorder="1"/>
    <xf numFmtId="41" fontId="4" fillId="0" borderId="14" xfId="1" applyNumberFormat="1" applyFont="1" applyFill="1" applyBorder="1"/>
    <xf numFmtId="41" fontId="17" fillId="0" borderId="0" xfId="0" applyNumberFormat="1" applyFont="1" applyBorder="1"/>
    <xf numFmtId="41" fontId="14" fillId="0" borderId="5" xfId="1" applyNumberFormat="1" applyFont="1" applyFill="1" applyBorder="1"/>
    <xf numFmtId="41" fontId="14" fillId="0" borderId="0" xfId="1" applyNumberFormat="1" applyFont="1" applyFill="1" applyBorder="1"/>
    <xf numFmtId="0" fontId="2" fillId="0" borderId="0" xfId="0" applyFont="1" applyBorder="1"/>
    <xf numFmtId="0" fontId="17" fillId="9" borderId="0" xfId="0" applyFont="1" applyFill="1" applyBorder="1"/>
    <xf numFmtId="0" fontId="2" fillId="9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9" borderId="0" xfId="0" applyFont="1" applyFill="1" applyBorder="1"/>
    <xf numFmtId="164" fontId="2" fillId="9" borderId="7" xfId="0" applyNumberFormat="1" applyFont="1" applyFill="1" applyBorder="1" applyAlignment="1">
      <alignment horizontal="center" vertical="top"/>
    </xf>
    <xf numFmtId="164" fontId="2" fillId="0" borderId="7" xfId="0" applyNumberFormat="1" applyFont="1" applyBorder="1"/>
    <xf numFmtId="164" fontId="2" fillId="0" borderId="7" xfId="1" applyNumberFormat="1" applyFont="1" applyBorder="1"/>
    <xf numFmtId="0" fontId="17" fillId="0" borderId="0" xfId="1" applyNumberFormat="1" applyFont="1" applyBorder="1"/>
    <xf numFmtId="0" fontId="17" fillId="9" borderId="0" xfId="0" applyFont="1" applyFill="1" applyBorder="1" applyAlignment="1">
      <alignment horizontal="left" vertical="top"/>
    </xf>
    <xf numFmtId="164" fontId="17" fillId="9" borderId="7" xfId="0" applyNumberFormat="1" applyFont="1" applyFill="1" applyBorder="1"/>
    <xf numFmtId="41" fontId="14" fillId="0" borderId="9" xfId="1" applyNumberFormat="1" applyFont="1" applyBorder="1"/>
    <xf numFmtId="164" fontId="17" fillId="0" borderId="0" xfId="0" applyNumberFormat="1" applyFont="1" applyBorder="1"/>
    <xf numFmtId="0" fontId="17" fillId="0" borderId="0" xfId="0" applyFont="1"/>
    <xf numFmtId="164" fontId="17" fillId="9" borderId="0" xfId="0" applyNumberFormat="1" applyFont="1" applyFill="1" applyBorder="1" applyAlignment="1">
      <alignment horizontal="left" wrapText="1"/>
    </xf>
    <xf numFmtId="164" fontId="17" fillId="9" borderId="0" xfId="0" applyNumberFormat="1" applyFont="1" applyFill="1" applyBorder="1"/>
    <xf numFmtId="164" fontId="2" fillId="0" borderId="0" xfId="0" applyNumberFormat="1" applyFont="1" applyBorder="1"/>
    <xf numFmtId="0" fontId="17" fillId="0" borderId="0" xfId="0" applyNumberFormat="1" applyFont="1" applyBorder="1"/>
    <xf numFmtId="164" fontId="2" fillId="0" borderId="7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64" fontId="17" fillId="0" borderId="7" xfId="0" applyNumberFormat="1" applyFont="1" applyBorder="1"/>
    <xf numFmtId="164" fontId="17" fillId="0" borderId="0" xfId="1" applyNumberFormat="1" applyFont="1" applyFill="1" applyBorder="1" applyAlignment="1">
      <alignment horizontal="left" wrapText="1"/>
    </xf>
    <xf numFmtId="0" fontId="20" fillId="0" borderId="12" xfId="0" applyFont="1" applyFill="1" applyBorder="1" applyAlignment="1"/>
    <xf numFmtId="164" fontId="17" fillId="0" borderId="0" xfId="0" applyNumberFormat="1" applyFont="1" applyBorder="1" applyAlignment="1">
      <alignment horizontal="left"/>
    </xf>
    <xf numFmtId="0" fontId="17" fillId="0" borderId="12" xfId="0" quotePrefix="1" applyFont="1" applyFill="1" applyBorder="1" applyAlignment="1">
      <alignment horizontal="left"/>
    </xf>
    <xf numFmtId="0" fontId="17" fillId="0" borderId="9" xfId="0" quotePrefix="1" applyFont="1" applyFill="1" applyBorder="1" applyAlignment="1">
      <alignment horizontal="left"/>
    </xf>
    <xf numFmtId="41" fontId="17" fillId="0" borderId="16" xfId="1" applyNumberFormat="1" applyFont="1" applyBorder="1"/>
    <xf numFmtId="41" fontId="3" fillId="0" borderId="16" xfId="1" applyNumberFormat="1" applyFont="1" applyBorder="1"/>
    <xf numFmtId="0" fontId="17" fillId="0" borderId="5" xfId="0" applyFont="1" applyBorder="1"/>
    <xf numFmtId="0" fontId="17" fillId="0" borderId="6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41" fontId="3" fillId="0" borderId="9" xfId="1" applyNumberFormat="1" applyFont="1" applyFill="1" applyBorder="1" applyAlignment="1">
      <alignment horizontal="left"/>
    </xf>
    <xf numFmtId="41" fontId="3" fillId="0" borderId="7" xfId="1" applyNumberFormat="1" applyFont="1" applyFill="1" applyBorder="1" applyAlignment="1">
      <alignment horizontal="left"/>
    </xf>
    <xf numFmtId="0" fontId="17" fillId="0" borderId="9" xfId="0" applyFont="1" applyBorder="1"/>
    <xf numFmtId="0" fontId="17" fillId="0" borderId="0" xfId="0" applyFont="1" applyBorder="1" applyAlignment="1">
      <alignment horizontal="left"/>
    </xf>
    <xf numFmtId="41" fontId="2" fillId="0" borderId="0" xfId="0" applyNumberFormat="1" applyFont="1" applyBorder="1"/>
    <xf numFmtId="0" fontId="4" fillId="0" borderId="0" xfId="0" applyFont="1" applyBorder="1" applyAlignment="1">
      <alignment horizontal="left"/>
    </xf>
    <xf numFmtId="164" fontId="3" fillId="0" borderId="7" xfId="2" applyNumberFormat="1" applyFont="1" applyFill="1" applyBorder="1" applyAlignment="1" applyProtection="1">
      <alignment horizontal="left" wrapText="1"/>
    </xf>
    <xf numFmtId="164" fontId="3" fillId="0" borderId="14" xfId="2" applyNumberFormat="1" applyFont="1" applyFill="1" applyBorder="1" applyAlignment="1" applyProtection="1">
      <alignment horizontal="left" wrapText="1"/>
    </xf>
    <xf numFmtId="0" fontId="23" fillId="0" borderId="0" xfId="0" applyFont="1" applyBorder="1"/>
    <xf numFmtId="0" fontId="24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24" fillId="0" borderId="0" xfId="0" applyFont="1" applyBorder="1"/>
    <xf numFmtId="0" fontId="25" fillId="0" borderId="0" xfId="0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0" fontId="25" fillId="0" borderId="0" xfId="0" applyFont="1" applyBorder="1"/>
    <xf numFmtId="164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quotePrefix="1" applyFont="1" applyBorder="1" applyAlignment="1">
      <alignment horizontal="left"/>
    </xf>
    <xf numFmtId="0" fontId="18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26" fillId="0" borderId="0" xfId="0" applyFont="1" applyBorder="1"/>
    <xf numFmtId="0" fontId="27" fillId="0" borderId="0" xfId="0" applyFont="1" applyBorder="1"/>
    <xf numFmtId="0" fontId="27" fillId="0" borderId="0" xfId="0" applyFont="1"/>
    <xf numFmtId="0" fontId="3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 indent="1"/>
    </xf>
    <xf numFmtId="0" fontId="9" fillId="0" borderId="9" xfId="0" applyFont="1" applyFill="1" applyBorder="1" applyAlignment="1">
      <alignment horizontal="left"/>
    </xf>
    <xf numFmtId="0" fontId="3" fillId="0" borderId="12" xfId="0" applyNumberFormat="1" applyFont="1" applyFill="1" applyBorder="1" applyAlignment="1"/>
    <xf numFmtId="0" fontId="3" fillId="0" borderId="12" xfId="0" applyFont="1" applyFill="1" applyBorder="1" applyAlignment="1">
      <alignment wrapText="1"/>
    </xf>
    <xf numFmtId="41" fontId="4" fillId="0" borderId="6" xfId="1" applyNumberFormat="1" applyFont="1" applyFill="1" applyBorder="1" applyAlignment="1"/>
    <xf numFmtId="0" fontId="17" fillId="0" borderId="6" xfId="0" applyFont="1" applyFill="1" applyBorder="1"/>
    <xf numFmtId="0" fontId="17" fillId="0" borderId="9" xfId="0" applyFont="1" applyFill="1" applyBorder="1"/>
    <xf numFmtId="10" fontId="17" fillId="0" borderId="9" xfId="0" applyNumberFormat="1" applyFont="1" applyBorder="1"/>
    <xf numFmtId="41" fontId="17" fillId="0" borderId="9" xfId="1" applyNumberFormat="1" applyFont="1" applyFill="1" applyBorder="1"/>
    <xf numFmtId="0" fontId="17" fillId="0" borderId="6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 wrapText="1"/>
    </xf>
    <xf numFmtId="0" fontId="17" fillId="0" borderId="9" xfId="0" applyFont="1" applyFill="1" applyBorder="1" applyAlignment="1">
      <alignment horizontal="left" wrapText="1"/>
    </xf>
    <xf numFmtId="0" fontId="17" fillId="0" borderId="6" xfId="0" applyFont="1" applyFill="1" applyBorder="1" applyAlignment="1"/>
    <xf numFmtId="0" fontId="17" fillId="0" borderId="9" xfId="0" applyFont="1" applyFill="1" applyBorder="1" applyAlignment="1"/>
    <xf numFmtId="41" fontId="3" fillId="0" borderId="12" xfId="0" applyNumberFormat="1" applyFont="1" applyFill="1" applyBorder="1" applyAlignment="1">
      <alignment horizontal="left" wrapText="1"/>
    </xf>
    <xf numFmtId="41" fontId="3" fillId="0" borderId="0" xfId="1" applyNumberFormat="1" applyFont="1" applyBorder="1"/>
    <xf numFmtId="0" fontId="16" fillId="0" borderId="12" xfId="0" applyFont="1" applyFill="1" applyBorder="1" applyAlignment="1"/>
    <xf numFmtId="41" fontId="3" fillId="0" borderId="7" xfId="1" applyNumberFormat="1" applyFont="1" applyBorder="1"/>
    <xf numFmtId="41" fontId="3" fillId="0" borderId="14" xfId="1" applyNumberFormat="1" applyFont="1" applyBorder="1"/>
    <xf numFmtId="164" fontId="2" fillId="0" borderId="12" xfId="1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64" fontId="17" fillId="0" borderId="6" xfId="1" applyNumberFormat="1" applyFont="1" applyFill="1" applyBorder="1" applyAlignment="1">
      <alignment horizontal="left" wrapText="1"/>
    </xf>
    <xf numFmtId="41" fontId="4" fillId="0" borderId="9" xfId="1" applyNumberFormat="1" applyFont="1" applyFill="1" applyBorder="1" applyAlignment="1">
      <alignment horizontal="left" wrapText="1"/>
    </xf>
    <xf numFmtId="164" fontId="6" fillId="3" borderId="1" xfId="1" applyNumberFormat="1" applyFont="1" applyFill="1" applyBorder="1" applyAlignment="1">
      <alignment horizontal="center" wrapText="1"/>
    </xf>
    <xf numFmtId="164" fontId="6" fillId="3" borderId="5" xfId="1" applyNumberFormat="1" applyFont="1" applyFill="1" applyBorder="1" applyAlignment="1">
      <alignment horizontal="center" wrapText="1"/>
    </xf>
    <xf numFmtId="164" fontId="6" fillId="3" borderId="9" xfId="1" applyNumberFormat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 wrapText="1"/>
    </xf>
    <xf numFmtId="164" fontId="7" fillId="3" borderId="5" xfId="1" applyNumberFormat="1" applyFont="1" applyFill="1" applyBorder="1" applyAlignment="1">
      <alignment horizontal="center" vertical="center" wrapText="1"/>
    </xf>
    <xf numFmtId="164" fontId="7" fillId="3" borderId="9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164" fontId="18" fillId="4" borderId="11" xfId="1" applyNumberFormat="1" applyFont="1" applyFill="1" applyBorder="1" applyAlignment="1">
      <alignment horizontal="center" wrapText="1"/>
    </xf>
    <xf numFmtId="164" fontId="18" fillId="4" borderId="14" xfId="1" applyNumberFormat="1" applyFont="1" applyFill="1" applyBorder="1" applyAlignment="1">
      <alignment horizontal="center" wrapText="1"/>
    </xf>
    <xf numFmtId="164" fontId="16" fillId="0" borderId="11" xfId="1" applyNumberFormat="1" applyFont="1" applyFill="1" applyBorder="1" applyAlignment="1">
      <alignment horizontal="center"/>
    </xf>
    <xf numFmtId="164" fontId="16" fillId="0" borderId="14" xfId="1" applyNumberFormat="1" applyFont="1" applyFill="1" applyBorder="1" applyAlignment="1">
      <alignment horizontal="center"/>
    </xf>
    <xf numFmtId="164" fontId="16" fillId="0" borderId="15" xfId="1" applyNumberFormat="1" applyFont="1" applyFill="1" applyBorder="1" applyAlignment="1">
      <alignment horizontal="center"/>
    </xf>
    <xf numFmtId="164" fontId="19" fillId="3" borderId="1" xfId="1" applyNumberFormat="1" applyFont="1" applyFill="1" applyBorder="1" applyAlignment="1">
      <alignment horizontal="center" vertical="top" wrapText="1"/>
    </xf>
    <xf numFmtId="164" fontId="19" fillId="3" borderId="5" xfId="1" applyNumberFormat="1" applyFont="1" applyFill="1" applyBorder="1" applyAlignment="1">
      <alignment horizontal="center" vertical="top" wrapText="1"/>
    </xf>
    <xf numFmtId="164" fontId="19" fillId="3" borderId="9" xfId="1" applyNumberFormat="1" applyFont="1" applyFill="1" applyBorder="1" applyAlignment="1">
      <alignment horizontal="center" vertical="top" wrapText="1"/>
    </xf>
    <xf numFmtId="164" fontId="18" fillId="6" borderId="1" xfId="1" applyNumberFormat="1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8" fillId="7" borderId="5" xfId="0" applyFont="1" applyFill="1" applyBorder="1" applyAlignment="1">
      <alignment horizontal="center" wrapText="1"/>
    </xf>
    <xf numFmtId="0" fontId="18" fillId="7" borderId="9" xfId="0" applyFont="1" applyFill="1" applyBorder="1" applyAlignment="1">
      <alignment horizontal="center" wrapText="1"/>
    </xf>
  </cellXfs>
  <cellStyles count="9">
    <cellStyle name="Comma" xfId="1" builtinId="3"/>
    <cellStyle name="Comma 2" xfId="3"/>
    <cellStyle name="Comma 6" xfId="4"/>
    <cellStyle name="Hyperlink" xfId="2" builtinId="8"/>
    <cellStyle name="Normal" xfId="0" builtinId="0"/>
    <cellStyle name="Normal 2" xfId="5"/>
    <cellStyle name="Normal 3" xfId="7"/>
    <cellStyle name="Normal 7" xfId="6"/>
    <cellStyle name="Percent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s1-zescabarte\FY%20CONTROL\FY%202014%20SAOB\2014%20Q4%20SAOB_Preliminar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dept total only"/>
      <sheetName val="by department"/>
      <sheetName val="by agency"/>
      <sheetName val="By SUCs"/>
      <sheetName val="DOST"/>
      <sheetName val="Sheet1"/>
    </sheetNames>
    <sheetDataSet>
      <sheetData sheetId="0"/>
      <sheetData sheetId="1"/>
      <sheetData sheetId="2">
        <row r="2">
          <cell r="A2" t="str">
            <v>AS OF DECEMBER 31, 2014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940"/>
  <sheetViews>
    <sheetView showRuler="0" zoomScaleSheetLayoutView="100" workbookViewId="0">
      <pane xSplit="1" ySplit="8" topLeftCell="B9" activePane="bottomRight" state="frozen"/>
      <selection activeCell="A1459" sqref="A1459"/>
      <selection pane="topRight" activeCell="A1459" sqref="A1459"/>
      <selection pane="bottomLeft" activeCell="A1459" sqref="A1459"/>
      <selection pane="bottomRight" activeCell="I21" sqref="I21"/>
    </sheetView>
  </sheetViews>
  <sheetFormatPr defaultRowHeight="12.75"/>
  <cols>
    <col min="1" max="1" width="32.57031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16" t="s">
        <v>14</v>
      </c>
      <c r="B10" s="17">
        <f t="shared" ref="B10:K10" si="0">+B11+B15</f>
        <v>5535422</v>
      </c>
      <c r="C10" s="17">
        <f t="shared" si="0"/>
        <v>5924974</v>
      </c>
      <c r="D10" s="17"/>
      <c r="E10" s="17">
        <f t="shared" si="0"/>
        <v>209381</v>
      </c>
      <c r="F10" s="17">
        <f>+F11+F15</f>
        <v>11669777</v>
      </c>
      <c r="G10" s="17">
        <f>+G11+G15</f>
        <v>2009155</v>
      </c>
      <c r="H10" s="17">
        <f>+H11+H15</f>
        <v>1762993</v>
      </c>
      <c r="I10" s="17"/>
      <c r="J10" s="17">
        <f>+J11+J15</f>
        <v>12055</v>
      </c>
      <c r="K10" s="17">
        <f t="shared" si="0"/>
        <v>3784203</v>
      </c>
      <c r="L10" s="17">
        <f>+L11+L15</f>
        <v>3526267</v>
      </c>
      <c r="M10" s="17">
        <f>+M11+M15</f>
        <v>4161981</v>
      </c>
      <c r="N10" s="17"/>
      <c r="O10" s="17">
        <f>+O11+O15</f>
        <v>197326</v>
      </c>
      <c r="P10" s="17">
        <f>+P11+P15</f>
        <v>7885574</v>
      </c>
      <c r="Q10" s="18">
        <f>+K10/F10</f>
        <v>0.3242738057462452</v>
      </c>
    </row>
    <row r="11" spans="1:18" ht="12.75" customHeight="1">
      <c r="A11" s="19" t="s">
        <v>15</v>
      </c>
      <c r="B11" s="20">
        <f t="shared" ref="B11:K11" si="1">+B12+B13+B14</f>
        <v>5535422</v>
      </c>
      <c r="C11" s="20">
        <f t="shared" si="1"/>
        <v>5358983</v>
      </c>
      <c r="D11" s="20"/>
      <c r="E11" s="20">
        <f t="shared" si="1"/>
        <v>204374</v>
      </c>
      <c r="F11" s="20">
        <f t="shared" si="1"/>
        <v>11098779</v>
      </c>
      <c r="G11" s="20">
        <f t="shared" si="1"/>
        <v>2009155</v>
      </c>
      <c r="H11" s="20">
        <f t="shared" si="1"/>
        <v>1500998</v>
      </c>
      <c r="I11" s="20"/>
      <c r="J11" s="20">
        <f t="shared" si="1"/>
        <v>12003</v>
      </c>
      <c r="K11" s="20">
        <f t="shared" si="1"/>
        <v>3522156</v>
      </c>
      <c r="L11" s="20">
        <f>+L12+L13+L14</f>
        <v>3526267</v>
      </c>
      <c r="M11" s="20">
        <f>+M12+M13+M14</f>
        <v>3857985</v>
      </c>
      <c r="N11" s="20"/>
      <c r="O11" s="20">
        <f>+O12+O13+O14</f>
        <v>192371</v>
      </c>
      <c r="P11" s="21">
        <f>+P12+P13+P14</f>
        <v>7576623</v>
      </c>
      <c r="Q11" s="18"/>
    </row>
    <row r="12" spans="1:18" ht="12.75" customHeight="1">
      <c r="A12" s="22" t="s">
        <v>16</v>
      </c>
      <c r="B12" s="23">
        <f t="shared" ref="B12:E14" si="2">+B21+B30+B39+B48+B57</f>
        <v>5179066</v>
      </c>
      <c r="C12" s="23">
        <f t="shared" si="2"/>
        <v>5358983</v>
      </c>
      <c r="D12" s="23"/>
      <c r="E12" s="23">
        <f t="shared" si="2"/>
        <v>204374</v>
      </c>
      <c r="F12" s="24">
        <f>SUM(B12:E12)</f>
        <v>10742423</v>
      </c>
      <c r="G12" s="23">
        <f t="shared" ref="G12:J14" si="3">+G21+G30+G39+G48+G57</f>
        <v>1881261</v>
      </c>
      <c r="H12" s="23">
        <f t="shared" si="3"/>
        <v>1500998</v>
      </c>
      <c r="I12" s="23"/>
      <c r="J12" s="23">
        <f t="shared" si="3"/>
        <v>12003</v>
      </c>
      <c r="K12" s="24">
        <f>SUM(G12:J12)</f>
        <v>3394262</v>
      </c>
      <c r="L12" s="25">
        <f t="shared" ref="L12:M14" si="4">+B12-G12</f>
        <v>3297805</v>
      </c>
      <c r="M12" s="25">
        <f t="shared" si="4"/>
        <v>3857985</v>
      </c>
      <c r="N12" s="25"/>
      <c r="O12" s="25">
        <f>+E12-J12</f>
        <v>192371</v>
      </c>
      <c r="P12" s="26">
        <f>SUM(L12:O12)</f>
        <v>7348161</v>
      </c>
      <c r="Q12" s="18"/>
    </row>
    <row r="13" spans="1:18" ht="12.75" customHeight="1">
      <c r="A13" s="22" t="s">
        <v>17</v>
      </c>
      <c r="B13" s="23">
        <f t="shared" si="2"/>
        <v>30415</v>
      </c>
      <c r="C13" s="23">
        <f t="shared" si="2"/>
        <v>0</v>
      </c>
      <c r="D13" s="23"/>
      <c r="E13" s="23">
        <f t="shared" si="2"/>
        <v>0</v>
      </c>
      <c r="F13" s="24">
        <f>SUM(B13:E13)</f>
        <v>30415</v>
      </c>
      <c r="G13" s="23">
        <f t="shared" si="3"/>
        <v>9649</v>
      </c>
      <c r="H13" s="23">
        <f t="shared" si="3"/>
        <v>0</v>
      </c>
      <c r="I13" s="23"/>
      <c r="J13" s="23">
        <f t="shared" si="3"/>
        <v>0</v>
      </c>
      <c r="K13" s="24">
        <f>SUM(G13:J13)</f>
        <v>9649</v>
      </c>
      <c r="L13" s="25">
        <f t="shared" si="4"/>
        <v>20766</v>
      </c>
      <c r="M13" s="25">
        <f t="shared" si="4"/>
        <v>0</v>
      </c>
      <c r="N13" s="25"/>
      <c r="O13" s="25">
        <f>+E13-J13</f>
        <v>0</v>
      </c>
      <c r="P13" s="26">
        <f>SUM(L13:O13)</f>
        <v>20766</v>
      </c>
      <c r="Q13" s="18"/>
    </row>
    <row r="14" spans="1:18" ht="12.75" customHeight="1">
      <c r="A14" s="22" t="s">
        <v>18</v>
      </c>
      <c r="B14" s="23">
        <f t="shared" si="2"/>
        <v>325941</v>
      </c>
      <c r="C14" s="23">
        <f t="shared" si="2"/>
        <v>0</v>
      </c>
      <c r="D14" s="23"/>
      <c r="E14" s="23">
        <f t="shared" si="2"/>
        <v>0</v>
      </c>
      <c r="F14" s="24">
        <f>SUM(B14:E14)</f>
        <v>325941</v>
      </c>
      <c r="G14" s="23">
        <f t="shared" si="3"/>
        <v>118245</v>
      </c>
      <c r="H14" s="23">
        <f t="shared" si="3"/>
        <v>0</v>
      </c>
      <c r="I14" s="23"/>
      <c r="J14" s="23">
        <f t="shared" si="3"/>
        <v>0</v>
      </c>
      <c r="K14" s="24">
        <f>SUM(G14:J14)</f>
        <v>118245</v>
      </c>
      <c r="L14" s="25">
        <f t="shared" si="4"/>
        <v>207696</v>
      </c>
      <c r="M14" s="25">
        <f t="shared" si="4"/>
        <v>0</v>
      </c>
      <c r="N14" s="25"/>
      <c r="O14" s="25">
        <f>+E14-J14</f>
        <v>0</v>
      </c>
      <c r="P14" s="26">
        <f>SUM(L14:O14)</f>
        <v>207696</v>
      </c>
      <c r="Q14" s="18"/>
    </row>
    <row r="15" spans="1:18" ht="12.75" customHeight="1">
      <c r="A15" s="22" t="s">
        <v>19</v>
      </c>
      <c r="B15" s="27">
        <f t="shared" ref="B15:K15" si="5">+B16+B17</f>
        <v>0</v>
      </c>
      <c r="C15" s="27">
        <f t="shared" si="5"/>
        <v>565991</v>
      </c>
      <c r="D15" s="27"/>
      <c r="E15" s="28">
        <f t="shared" si="5"/>
        <v>5007</v>
      </c>
      <c r="F15" s="27">
        <f t="shared" si="5"/>
        <v>570998</v>
      </c>
      <c r="G15" s="27">
        <f t="shared" si="5"/>
        <v>0</v>
      </c>
      <c r="H15" s="27">
        <f t="shared" si="5"/>
        <v>261995</v>
      </c>
      <c r="I15" s="27"/>
      <c r="J15" s="27">
        <f t="shared" si="5"/>
        <v>52</v>
      </c>
      <c r="K15" s="27">
        <f t="shared" si="5"/>
        <v>262047</v>
      </c>
      <c r="L15" s="27">
        <f>+L16+L17</f>
        <v>0</v>
      </c>
      <c r="M15" s="27">
        <f>+M16+M17</f>
        <v>303996</v>
      </c>
      <c r="N15" s="27"/>
      <c r="O15" s="27">
        <f>+O16+O17</f>
        <v>4955</v>
      </c>
      <c r="P15" s="28">
        <f>+P16+P17</f>
        <v>308951</v>
      </c>
      <c r="Q15" s="18"/>
    </row>
    <row r="16" spans="1:18" ht="12.75" customHeight="1">
      <c r="A16" s="23" t="s">
        <v>20</v>
      </c>
      <c r="B16" s="23">
        <f t="shared" ref="B16:E17" si="6">+B25+B34+B43+B52+B61</f>
        <v>0</v>
      </c>
      <c r="C16" s="23">
        <f t="shared" si="6"/>
        <v>565991</v>
      </c>
      <c r="D16" s="23"/>
      <c r="E16" s="23">
        <f t="shared" si="6"/>
        <v>5007</v>
      </c>
      <c r="F16" s="24">
        <f>SUM(B16:E16)</f>
        <v>570998</v>
      </c>
      <c r="G16" s="23">
        <f t="shared" ref="G16:J17" si="7">+G25+G34+G43+G52+G61</f>
        <v>0</v>
      </c>
      <c r="H16" s="23">
        <f t="shared" si="7"/>
        <v>261995</v>
      </c>
      <c r="I16" s="23"/>
      <c r="J16" s="23">
        <f t="shared" si="7"/>
        <v>52</v>
      </c>
      <c r="K16" s="24">
        <f>SUM(G16:J16)</f>
        <v>262047</v>
      </c>
      <c r="L16" s="25">
        <f>+B16-G16</f>
        <v>0</v>
      </c>
      <c r="M16" s="25">
        <f>+C16-H16</f>
        <v>303996</v>
      </c>
      <c r="N16" s="25"/>
      <c r="O16" s="25">
        <f>+E16-J16</f>
        <v>4955</v>
      </c>
      <c r="P16" s="26">
        <f>SUM(L16:O16)</f>
        <v>308951</v>
      </c>
      <c r="Q16" s="18"/>
    </row>
    <row r="17" spans="1:17" ht="12.75" customHeight="1">
      <c r="A17" s="23" t="s">
        <v>21</v>
      </c>
      <c r="B17" s="23">
        <f t="shared" si="6"/>
        <v>0</v>
      </c>
      <c r="C17" s="23">
        <f t="shared" si="6"/>
        <v>0</v>
      </c>
      <c r="D17" s="23"/>
      <c r="E17" s="23">
        <f t="shared" si="6"/>
        <v>0</v>
      </c>
      <c r="F17" s="24">
        <f>SUM(B17:E17)</f>
        <v>0</v>
      </c>
      <c r="G17" s="23">
        <f t="shared" si="7"/>
        <v>0</v>
      </c>
      <c r="H17" s="23">
        <f t="shared" si="7"/>
        <v>0</v>
      </c>
      <c r="I17" s="23"/>
      <c r="J17" s="23">
        <f t="shared" si="7"/>
        <v>0</v>
      </c>
      <c r="K17" s="24">
        <f>SUM(G17:J17)</f>
        <v>0</v>
      </c>
      <c r="L17" s="25">
        <f>+B17-G17</f>
        <v>0</v>
      </c>
      <c r="M17" s="25">
        <f>+C17-H17</f>
        <v>0</v>
      </c>
      <c r="N17" s="25"/>
      <c r="O17" s="25">
        <f>+E17-J17</f>
        <v>0</v>
      </c>
      <c r="P17" s="26">
        <f>SUM(L17:O17)</f>
        <v>0</v>
      </c>
      <c r="Q17" s="18"/>
    </row>
    <row r="18" spans="1:17" ht="9.75" customHeight="1">
      <c r="A18" s="22"/>
      <c r="B18" s="29"/>
      <c r="C18" s="29"/>
      <c r="D18" s="29"/>
      <c r="E18" s="30"/>
      <c r="F18" s="24"/>
      <c r="G18" s="31"/>
      <c r="H18" s="31"/>
      <c r="I18" s="31"/>
      <c r="J18" s="31"/>
      <c r="K18" s="32"/>
      <c r="L18" s="25"/>
      <c r="M18" s="25"/>
      <c r="N18" s="25"/>
      <c r="O18" s="25"/>
      <c r="P18" s="26"/>
      <c r="Q18" s="18"/>
    </row>
    <row r="19" spans="1:17" ht="12.75" customHeight="1">
      <c r="A19" s="33" t="s">
        <v>22</v>
      </c>
      <c r="B19" s="17">
        <f t="shared" ref="B19:K19" si="8">+B20+B24</f>
        <v>1835375</v>
      </c>
      <c r="C19" s="17">
        <f t="shared" si="8"/>
        <v>2040385</v>
      </c>
      <c r="D19" s="17">
        <f t="shared" si="8"/>
        <v>0</v>
      </c>
      <c r="E19" s="17">
        <f t="shared" si="8"/>
        <v>52355</v>
      </c>
      <c r="F19" s="17">
        <f t="shared" si="8"/>
        <v>3928115</v>
      </c>
      <c r="G19" s="17">
        <f t="shared" si="8"/>
        <v>1716380</v>
      </c>
      <c r="H19" s="17">
        <f t="shared" si="8"/>
        <v>1497390</v>
      </c>
      <c r="I19" s="17">
        <f t="shared" si="8"/>
        <v>0</v>
      </c>
      <c r="J19" s="17">
        <f t="shared" si="8"/>
        <v>10769</v>
      </c>
      <c r="K19" s="17">
        <f t="shared" si="8"/>
        <v>3224539</v>
      </c>
      <c r="L19" s="17">
        <f t="shared" ref="L19:P19" si="9">+L20+L24</f>
        <v>118995</v>
      </c>
      <c r="M19" s="17">
        <f t="shared" si="9"/>
        <v>542995</v>
      </c>
      <c r="N19" s="17"/>
      <c r="O19" s="17">
        <f t="shared" si="9"/>
        <v>41586</v>
      </c>
      <c r="P19" s="17">
        <f t="shared" si="9"/>
        <v>703576</v>
      </c>
      <c r="Q19" s="18">
        <f>+K19/F19</f>
        <v>0.82088711761239175</v>
      </c>
    </row>
    <row r="20" spans="1:17" ht="12.75" customHeight="1">
      <c r="A20" s="19" t="s">
        <v>15</v>
      </c>
      <c r="B20" s="20">
        <f t="shared" ref="B20:K20" si="10">+B21+B22+B23</f>
        <v>1835375</v>
      </c>
      <c r="C20" s="20">
        <f t="shared" si="10"/>
        <v>1570681</v>
      </c>
      <c r="D20" s="20">
        <f t="shared" si="10"/>
        <v>0</v>
      </c>
      <c r="E20" s="20">
        <f t="shared" si="10"/>
        <v>47400</v>
      </c>
      <c r="F20" s="20">
        <f t="shared" si="10"/>
        <v>3453456</v>
      </c>
      <c r="G20" s="20">
        <f t="shared" si="10"/>
        <v>1716380</v>
      </c>
      <c r="H20" s="20">
        <f t="shared" si="10"/>
        <v>1267664</v>
      </c>
      <c r="I20" s="20">
        <f t="shared" si="10"/>
        <v>0</v>
      </c>
      <c r="J20" s="20">
        <f t="shared" si="10"/>
        <v>10769</v>
      </c>
      <c r="K20" s="20">
        <f t="shared" si="10"/>
        <v>2994813</v>
      </c>
      <c r="L20" s="20">
        <f>+L21+L22+L23</f>
        <v>118995</v>
      </c>
      <c r="M20" s="20">
        <f>+M21+M22+M23</f>
        <v>303017</v>
      </c>
      <c r="N20" s="20"/>
      <c r="O20" s="20">
        <f>+O21+O22+O23</f>
        <v>36631</v>
      </c>
      <c r="P20" s="21">
        <f>+P21+P22+P23</f>
        <v>458643</v>
      </c>
      <c r="Q20" s="18"/>
    </row>
    <row r="21" spans="1:17" ht="12.75" customHeight="1">
      <c r="A21" s="22" t="s">
        <v>16</v>
      </c>
      <c r="B21" s="29">
        <v>1726278</v>
      </c>
      <c r="C21" s="29">
        <v>1570681</v>
      </c>
      <c r="D21" s="29"/>
      <c r="E21" s="30">
        <v>47400</v>
      </c>
      <c r="F21" s="24">
        <f>SUM(B21:E21)</f>
        <v>3344359</v>
      </c>
      <c r="G21" s="29">
        <v>1609122</v>
      </c>
      <c r="H21" s="29">
        <v>1267664</v>
      </c>
      <c r="I21" s="29"/>
      <c r="J21" s="29">
        <v>10769</v>
      </c>
      <c r="K21" s="24">
        <f>SUM(G21:J21)</f>
        <v>2887555</v>
      </c>
      <c r="L21" s="25">
        <f t="shared" ref="L21:M23" si="11">+B21-G21</f>
        <v>117156</v>
      </c>
      <c r="M21" s="25">
        <f t="shared" si="11"/>
        <v>303017</v>
      </c>
      <c r="N21" s="25"/>
      <c r="O21" s="25">
        <f>+E21-J21</f>
        <v>36631</v>
      </c>
      <c r="P21" s="26">
        <f>SUM(L21:O21)</f>
        <v>456804</v>
      </c>
      <c r="Q21" s="18"/>
    </row>
    <row r="22" spans="1:17" ht="12.75" customHeight="1">
      <c r="A22" s="22" t="s">
        <v>17</v>
      </c>
      <c r="B22" s="29">
        <v>9500</v>
      </c>
      <c r="C22" s="34"/>
      <c r="D22" s="34"/>
      <c r="E22" s="30"/>
      <c r="F22" s="24">
        <f>SUM(B22:E22)</f>
        <v>9500</v>
      </c>
      <c r="G22" s="29">
        <v>8644</v>
      </c>
      <c r="H22" s="34"/>
      <c r="I22" s="34"/>
      <c r="J22" s="34"/>
      <c r="K22" s="24">
        <f>SUM(G22:J22)</f>
        <v>8644</v>
      </c>
      <c r="L22" s="25">
        <f t="shared" si="11"/>
        <v>856</v>
      </c>
      <c r="M22" s="25">
        <f t="shared" si="11"/>
        <v>0</v>
      </c>
      <c r="N22" s="25"/>
      <c r="O22" s="25">
        <f>+E22-J22</f>
        <v>0</v>
      </c>
      <c r="P22" s="26">
        <f>SUM(L22:O22)</f>
        <v>856</v>
      </c>
      <c r="Q22" s="18"/>
    </row>
    <row r="23" spans="1:17" ht="12.75" customHeight="1">
      <c r="A23" s="22" t="s">
        <v>18</v>
      </c>
      <c r="B23" s="29">
        <v>99597</v>
      </c>
      <c r="C23" s="34"/>
      <c r="D23" s="34"/>
      <c r="E23" s="35"/>
      <c r="F23" s="24">
        <f>SUM(B23:E23)</f>
        <v>99597</v>
      </c>
      <c r="G23" s="29">
        <v>98614</v>
      </c>
      <c r="H23" s="34"/>
      <c r="I23" s="34"/>
      <c r="J23" s="34"/>
      <c r="K23" s="24">
        <f>SUM(G23:J23)</f>
        <v>98614</v>
      </c>
      <c r="L23" s="25">
        <f t="shared" si="11"/>
        <v>983</v>
      </c>
      <c r="M23" s="25">
        <f t="shared" si="11"/>
        <v>0</v>
      </c>
      <c r="N23" s="25"/>
      <c r="O23" s="25">
        <f>+E23-J23</f>
        <v>0</v>
      </c>
      <c r="P23" s="26">
        <f>SUM(L23:O23)</f>
        <v>983</v>
      </c>
      <c r="Q23" s="18"/>
    </row>
    <row r="24" spans="1:17" ht="12.75" customHeight="1">
      <c r="A24" s="22" t="s">
        <v>19</v>
      </c>
      <c r="B24" s="27">
        <f t="shared" ref="B24:K24" si="12">+B25+B26</f>
        <v>0</v>
      </c>
      <c r="C24" s="27">
        <f t="shared" si="12"/>
        <v>469704</v>
      </c>
      <c r="D24" s="27">
        <f t="shared" si="12"/>
        <v>0</v>
      </c>
      <c r="E24" s="27">
        <f t="shared" si="12"/>
        <v>4955</v>
      </c>
      <c r="F24" s="27">
        <f t="shared" si="12"/>
        <v>474659</v>
      </c>
      <c r="G24" s="27">
        <f t="shared" si="12"/>
        <v>0</v>
      </c>
      <c r="H24" s="27">
        <f t="shared" si="12"/>
        <v>229726</v>
      </c>
      <c r="I24" s="27">
        <f t="shared" si="12"/>
        <v>0</v>
      </c>
      <c r="J24" s="27">
        <f t="shared" si="12"/>
        <v>0</v>
      </c>
      <c r="K24" s="27">
        <f t="shared" si="12"/>
        <v>229726</v>
      </c>
      <c r="L24" s="27">
        <f t="shared" ref="L24:P24" si="13">+L25+L26</f>
        <v>0</v>
      </c>
      <c r="M24" s="27">
        <f t="shared" si="13"/>
        <v>239978</v>
      </c>
      <c r="N24" s="27"/>
      <c r="O24" s="27">
        <f t="shared" si="13"/>
        <v>4955</v>
      </c>
      <c r="P24" s="28">
        <f t="shared" si="13"/>
        <v>244933</v>
      </c>
      <c r="Q24" s="18"/>
    </row>
    <row r="25" spans="1:17" ht="12.75" customHeight="1">
      <c r="A25" s="23" t="s">
        <v>20</v>
      </c>
      <c r="B25" s="29"/>
      <c r="C25" s="29">
        <f>474659-4955</f>
        <v>469704</v>
      </c>
      <c r="D25" s="29"/>
      <c r="E25" s="30">
        <v>4955</v>
      </c>
      <c r="F25" s="24">
        <f>SUM(B25:E25)</f>
        <v>474659</v>
      </c>
      <c r="G25" s="29"/>
      <c r="H25" s="29">
        <f>204110+25616</f>
        <v>229726</v>
      </c>
      <c r="I25" s="29"/>
      <c r="J25" s="29"/>
      <c r="K25" s="24">
        <f>SUM(G25:J25)</f>
        <v>229726</v>
      </c>
      <c r="L25" s="25">
        <f>+B25-G25</f>
        <v>0</v>
      </c>
      <c r="M25" s="25">
        <f>+C25-H25</f>
        <v>239978</v>
      </c>
      <c r="N25" s="25"/>
      <c r="O25" s="25">
        <f>+E25-J25</f>
        <v>4955</v>
      </c>
      <c r="P25" s="26">
        <f>SUM(L25:O25)</f>
        <v>244933</v>
      </c>
      <c r="Q25" s="18"/>
    </row>
    <row r="26" spans="1:17" ht="12.75" customHeight="1">
      <c r="A26" s="23" t="s">
        <v>21</v>
      </c>
      <c r="B26" s="29"/>
      <c r="C26" s="29"/>
      <c r="D26" s="29"/>
      <c r="E26" s="30"/>
      <c r="F26" s="24">
        <f>SUM(B26:E26)</f>
        <v>0</v>
      </c>
      <c r="G26" s="29"/>
      <c r="H26" s="29"/>
      <c r="I26" s="29"/>
      <c r="J26" s="29"/>
      <c r="K26" s="24">
        <f>SUM(G26:J26)</f>
        <v>0</v>
      </c>
      <c r="L26" s="25">
        <f>+B26-G26</f>
        <v>0</v>
      </c>
      <c r="M26" s="25">
        <f>+C26-H26</f>
        <v>0</v>
      </c>
      <c r="N26" s="25"/>
      <c r="O26" s="25">
        <f>+E26-J26</f>
        <v>0</v>
      </c>
      <c r="P26" s="26">
        <f>SUM(L26:O26)</f>
        <v>0</v>
      </c>
      <c r="Q26" s="18"/>
    </row>
    <row r="27" spans="1:17" ht="12.75" customHeight="1">
      <c r="A27" s="36"/>
      <c r="B27" s="29"/>
      <c r="C27" s="29"/>
      <c r="D27" s="29"/>
      <c r="E27" s="30"/>
      <c r="F27" s="24"/>
      <c r="G27" s="31"/>
      <c r="H27" s="31"/>
      <c r="I27" s="31"/>
      <c r="J27" s="31"/>
      <c r="K27" s="32"/>
      <c r="L27" s="25"/>
      <c r="M27" s="25"/>
      <c r="N27" s="25"/>
      <c r="O27" s="25"/>
      <c r="P27" s="26"/>
      <c r="Q27" s="18"/>
    </row>
    <row r="28" spans="1:17" ht="12.75" customHeight="1">
      <c r="A28" s="36" t="s">
        <v>23</v>
      </c>
      <c r="B28" s="17">
        <f t="shared" ref="B28:K28" si="14">+B29+B33</f>
        <v>68739</v>
      </c>
      <c r="C28" s="17">
        <f t="shared" si="14"/>
        <v>37565</v>
      </c>
      <c r="D28" s="17">
        <f t="shared" si="14"/>
        <v>0</v>
      </c>
      <c r="E28" s="17">
        <f t="shared" si="14"/>
        <v>120</v>
      </c>
      <c r="F28" s="17">
        <f t="shared" si="14"/>
        <v>106424</v>
      </c>
      <c r="G28" s="17">
        <f t="shared" si="14"/>
        <v>67136</v>
      </c>
      <c r="H28" s="17">
        <f t="shared" si="14"/>
        <v>37565</v>
      </c>
      <c r="I28" s="17">
        <f t="shared" si="14"/>
        <v>0</v>
      </c>
      <c r="J28" s="17">
        <f t="shared" si="14"/>
        <v>120</v>
      </c>
      <c r="K28" s="17">
        <f t="shared" si="14"/>
        <v>104821</v>
      </c>
      <c r="L28" s="17">
        <f>+L29+L33</f>
        <v>1603</v>
      </c>
      <c r="M28" s="17">
        <f>+M29+M33</f>
        <v>0</v>
      </c>
      <c r="N28" s="17"/>
      <c r="O28" s="17">
        <f>+O29+O33</f>
        <v>0</v>
      </c>
      <c r="P28" s="17">
        <f>+P29+P33</f>
        <v>1603</v>
      </c>
      <c r="Q28" s="18">
        <f>+K28/F28</f>
        <v>0.98493760805833275</v>
      </c>
    </row>
    <row r="29" spans="1:17" ht="12.75" customHeight="1">
      <c r="A29" s="19" t="s">
        <v>15</v>
      </c>
      <c r="B29" s="20">
        <f t="shared" ref="B29:K29" si="15">+B30+B31+B32</f>
        <v>68739</v>
      </c>
      <c r="C29" s="20">
        <f t="shared" si="15"/>
        <v>24498</v>
      </c>
      <c r="D29" s="20">
        <f t="shared" si="15"/>
        <v>0</v>
      </c>
      <c r="E29" s="20">
        <f t="shared" si="15"/>
        <v>120</v>
      </c>
      <c r="F29" s="20">
        <f t="shared" si="15"/>
        <v>93357</v>
      </c>
      <c r="G29" s="20">
        <f t="shared" si="15"/>
        <v>67136</v>
      </c>
      <c r="H29" s="20">
        <f t="shared" si="15"/>
        <v>24498</v>
      </c>
      <c r="I29" s="20">
        <f t="shared" si="15"/>
        <v>0</v>
      </c>
      <c r="J29" s="20">
        <f t="shared" si="15"/>
        <v>120</v>
      </c>
      <c r="K29" s="20">
        <f t="shared" si="15"/>
        <v>91754</v>
      </c>
      <c r="L29" s="20">
        <f>+L30+L31+L32</f>
        <v>1603</v>
      </c>
      <c r="M29" s="20">
        <f>+M30+M31+M32</f>
        <v>0</v>
      </c>
      <c r="N29" s="20"/>
      <c r="O29" s="20">
        <f>+O30+O31+O32</f>
        <v>0</v>
      </c>
      <c r="P29" s="21">
        <f>+P30+P31+P32</f>
        <v>1603</v>
      </c>
      <c r="Q29" s="18"/>
    </row>
    <row r="30" spans="1:17" ht="12.75" customHeight="1">
      <c r="A30" s="22" t="s">
        <v>16</v>
      </c>
      <c r="B30" s="29">
        <v>62434</v>
      </c>
      <c r="C30" s="29">
        <v>24498</v>
      </c>
      <c r="D30" s="29"/>
      <c r="E30" s="30">
        <v>120</v>
      </c>
      <c r="F30" s="24">
        <f>SUM(B30:E30)</f>
        <v>87052</v>
      </c>
      <c r="G30" s="29">
        <f>57638-335-50+3961+403</f>
        <v>61617</v>
      </c>
      <c r="H30" s="29">
        <f>41526-13067-3961</f>
        <v>24498</v>
      </c>
      <c r="I30" s="29"/>
      <c r="J30" s="29">
        <f>523-403</f>
        <v>120</v>
      </c>
      <c r="K30" s="24">
        <f>SUM(G30:J30)</f>
        <v>86235</v>
      </c>
      <c r="L30" s="25">
        <f t="shared" ref="L30:M32" si="16">+B30-G30</f>
        <v>817</v>
      </c>
      <c r="M30" s="25">
        <f t="shared" si="16"/>
        <v>0</v>
      </c>
      <c r="N30" s="25"/>
      <c r="O30" s="25">
        <f>+E30-J30</f>
        <v>0</v>
      </c>
      <c r="P30" s="26">
        <f>SUM(L30:O30)</f>
        <v>817</v>
      </c>
      <c r="Q30" s="18"/>
    </row>
    <row r="31" spans="1:17" ht="12.75" customHeight="1">
      <c r="A31" s="22" t="s">
        <v>17</v>
      </c>
      <c r="B31" s="29">
        <v>545</v>
      </c>
      <c r="C31" s="34"/>
      <c r="D31" s="34"/>
      <c r="E31" s="30"/>
      <c r="F31" s="24">
        <f>SUM(B31:E31)</f>
        <v>545</v>
      </c>
      <c r="G31" s="29">
        <f>335+50</f>
        <v>385</v>
      </c>
      <c r="H31" s="34"/>
      <c r="I31" s="34"/>
      <c r="J31" s="34"/>
      <c r="K31" s="24">
        <f>SUM(G31:J31)</f>
        <v>385</v>
      </c>
      <c r="L31" s="25">
        <f t="shared" si="16"/>
        <v>160</v>
      </c>
      <c r="M31" s="25">
        <f t="shared" si="16"/>
        <v>0</v>
      </c>
      <c r="N31" s="25"/>
      <c r="O31" s="25">
        <f>+E31-J31</f>
        <v>0</v>
      </c>
      <c r="P31" s="26">
        <f>SUM(L31:O31)</f>
        <v>160</v>
      </c>
      <c r="Q31" s="18"/>
    </row>
    <row r="32" spans="1:17" ht="12.75" customHeight="1">
      <c r="A32" s="22" t="s">
        <v>18</v>
      </c>
      <c r="B32" s="29">
        <v>5760</v>
      </c>
      <c r="C32" s="34"/>
      <c r="D32" s="34"/>
      <c r="E32" s="35"/>
      <c r="F32" s="24">
        <f>SUM(B32:E32)</f>
        <v>5760</v>
      </c>
      <c r="G32" s="29">
        <v>5134</v>
      </c>
      <c r="H32" s="34"/>
      <c r="I32" s="34"/>
      <c r="J32" s="34"/>
      <c r="K32" s="24">
        <f>SUM(G32:J32)</f>
        <v>5134</v>
      </c>
      <c r="L32" s="25">
        <f t="shared" si="16"/>
        <v>626</v>
      </c>
      <c r="M32" s="25">
        <f t="shared" si="16"/>
        <v>0</v>
      </c>
      <c r="N32" s="25"/>
      <c r="O32" s="25">
        <f>+E32-J32</f>
        <v>0</v>
      </c>
      <c r="P32" s="26">
        <f>SUM(L32:O32)</f>
        <v>626</v>
      </c>
      <c r="Q32" s="18"/>
    </row>
    <row r="33" spans="1:17" ht="12.75" customHeight="1">
      <c r="A33" s="22" t="s">
        <v>19</v>
      </c>
      <c r="B33" s="27">
        <f t="shared" ref="B33:K33" si="17">+B34+B35</f>
        <v>0</v>
      </c>
      <c r="C33" s="27">
        <f t="shared" si="17"/>
        <v>13067</v>
      </c>
      <c r="D33" s="27">
        <f t="shared" si="17"/>
        <v>0</v>
      </c>
      <c r="E33" s="27">
        <f t="shared" si="17"/>
        <v>0</v>
      </c>
      <c r="F33" s="27">
        <f t="shared" si="17"/>
        <v>13067</v>
      </c>
      <c r="G33" s="27">
        <f t="shared" si="17"/>
        <v>0</v>
      </c>
      <c r="H33" s="27">
        <f t="shared" si="17"/>
        <v>13067</v>
      </c>
      <c r="I33" s="27">
        <f t="shared" si="17"/>
        <v>0</v>
      </c>
      <c r="J33" s="27">
        <f t="shared" si="17"/>
        <v>0</v>
      </c>
      <c r="K33" s="27">
        <f t="shared" si="17"/>
        <v>13067</v>
      </c>
      <c r="L33" s="27">
        <f t="shared" ref="L33:P33" si="18">+L34+L35</f>
        <v>0</v>
      </c>
      <c r="M33" s="27">
        <f t="shared" si="18"/>
        <v>0</v>
      </c>
      <c r="N33" s="27"/>
      <c r="O33" s="27">
        <f t="shared" si="18"/>
        <v>0</v>
      </c>
      <c r="P33" s="28">
        <f t="shared" si="18"/>
        <v>0</v>
      </c>
      <c r="Q33" s="18"/>
    </row>
    <row r="34" spans="1:17" ht="12.75" customHeight="1">
      <c r="A34" s="23" t="s">
        <v>20</v>
      </c>
      <c r="B34" s="29"/>
      <c r="C34" s="29">
        <f>4384+8683</f>
        <v>13067</v>
      </c>
      <c r="D34" s="29"/>
      <c r="E34" s="30"/>
      <c r="F34" s="24">
        <f>SUM(B34:E34)</f>
        <v>13067</v>
      </c>
      <c r="G34" s="29"/>
      <c r="H34" s="29">
        <v>13067</v>
      </c>
      <c r="I34" s="29"/>
      <c r="J34" s="29"/>
      <c r="K34" s="24">
        <f>SUM(G34:J34)</f>
        <v>13067</v>
      </c>
      <c r="L34" s="25">
        <f>+B34-G34</f>
        <v>0</v>
      </c>
      <c r="M34" s="25">
        <f>+C34-H34</f>
        <v>0</v>
      </c>
      <c r="N34" s="25"/>
      <c r="O34" s="25">
        <f>+E34-J34</f>
        <v>0</v>
      </c>
      <c r="P34" s="26">
        <f>SUM(L34:O34)</f>
        <v>0</v>
      </c>
      <c r="Q34" s="18"/>
    </row>
    <row r="35" spans="1:17" ht="12.75" customHeight="1">
      <c r="A35" s="23" t="s">
        <v>21</v>
      </c>
      <c r="B35" s="29"/>
      <c r="C35" s="29"/>
      <c r="D35" s="29"/>
      <c r="E35" s="30"/>
      <c r="F35" s="24">
        <f>SUM(B35:E35)</f>
        <v>0</v>
      </c>
      <c r="G35" s="29"/>
      <c r="H35" s="29"/>
      <c r="I35" s="29"/>
      <c r="J35" s="29"/>
      <c r="K35" s="24">
        <f>SUM(G35:J35)</f>
        <v>0</v>
      </c>
      <c r="L35" s="25">
        <f>+B35-G35</f>
        <v>0</v>
      </c>
      <c r="M35" s="25">
        <f>+C35-H35</f>
        <v>0</v>
      </c>
      <c r="N35" s="25"/>
      <c r="O35" s="25">
        <f>+E35-J35</f>
        <v>0</v>
      </c>
      <c r="P35" s="26">
        <f>SUM(L35:O35)</f>
        <v>0</v>
      </c>
      <c r="Q35" s="18"/>
    </row>
    <row r="36" spans="1:17" ht="12.75" customHeight="1">
      <c r="A36" s="36"/>
      <c r="B36" s="29"/>
      <c r="C36" s="29"/>
      <c r="D36" s="29"/>
      <c r="E36" s="30"/>
      <c r="F36" s="24"/>
      <c r="G36" s="31"/>
      <c r="H36" s="31"/>
      <c r="I36" s="31"/>
      <c r="J36" s="31"/>
      <c r="K36" s="32"/>
      <c r="L36" s="25"/>
      <c r="M36" s="25"/>
      <c r="N36" s="25"/>
      <c r="O36" s="25"/>
      <c r="P36" s="26"/>
      <c r="Q36" s="18"/>
    </row>
    <row r="37" spans="1:17" ht="12.75" customHeight="1">
      <c r="A37" s="36" t="s">
        <v>354</v>
      </c>
      <c r="B37" s="17">
        <f t="shared" ref="B37:K37" si="19">+B38+B42</f>
        <v>215228</v>
      </c>
      <c r="C37" s="17">
        <f t="shared" si="19"/>
        <v>418386</v>
      </c>
      <c r="D37" s="17">
        <f t="shared" si="19"/>
        <v>0</v>
      </c>
      <c r="E37" s="17">
        <f t="shared" si="19"/>
        <v>1052</v>
      </c>
      <c r="F37" s="17">
        <f t="shared" si="19"/>
        <v>634666</v>
      </c>
      <c r="G37" s="37">
        <f t="shared" si="19"/>
        <v>119014</v>
      </c>
      <c r="H37" s="37">
        <f t="shared" si="19"/>
        <v>186732</v>
      </c>
      <c r="I37" s="37"/>
      <c r="J37" s="37">
        <f t="shared" si="19"/>
        <v>99</v>
      </c>
      <c r="K37" s="37">
        <f t="shared" si="19"/>
        <v>305845</v>
      </c>
      <c r="L37" s="17">
        <f>+L38+L42</f>
        <v>96214</v>
      </c>
      <c r="M37" s="17">
        <f>+M38+M42</f>
        <v>231654</v>
      </c>
      <c r="N37" s="17"/>
      <c r="O37" s="17">
        <f>+O38+O42</f>
        <v>953</v>
      </c>
      <c r="P37" s="17">
        <f>+P38+P42</f>
        <v>328821</v>
      </c>
      <c r="Q37" s="18">
        <f>+K37/F37</f>
        <v>0.48189914065035783</v>
      </c>
    </row>
    <row r="38" spans="1:17" ht="12.75" customHeight="1">
      <c r="A38" s="19" t="s">
        <v>15</v>
      </c>
      <c r="B38" s="20">
        <f t="shared" ref="B38:J38" si="20">+B39+B40+B41</f>
        <v>215228</v>
      </c>
      <c r="C38" s="20">
        <f t="shared" si="20"/>
        <v>335580</v>
      </c>
      <c r="D38" s="20">
        <f t="shared" si="20"/>
        <v>0</v>
      </c>
      <c r="E38" s="20">
        <f t="shared" si="20"/>
        <v>1000</v>
      </c>
      <c r="F38" s="20">
        <f t="shared" si="20"/>
        <v>551808</v>
      </c>
      <c r="G38" s="38">
        <f t="shared" si="20"/>
        <v>119014</v>
      </c>
      <c r="H38" s="38">
        <f t="shared" si="20"/>
        <v>167941</v>
      </c>
      <c r="I38" s="38"/>
      <c r="J38" s="38">
        <f t="shared" si="20"/>
        <v>47</v>
      </c>
      <c r="K38" s="38">
        <f>+K39+K40+K41</f>
        <v>287002</v>
      </c>
      <c r="L38" s="20">
        <f>+L39+L40+L41</f>
        <v>96214</v>
      </c>
      <c r="M38" s="20">
        <f>+M39+M40+M41</f>
        <v>167639</v>
      </c>
      <c r="N38" s="20"/>
      <c r="O38" s="20">
        <f>+O39+O40+O41</f>
        <v>953</v>
      </c>
      <c r="P38" s="21">
        <f>+P39+P40+P41</f>
        <v>264806</v>
      </c>
      <c r="Q38" s="18"/>
    </row>
    <row r="39" spans="1:17" ht="12.75" customHeight="1">
      <c r="A39" s="22" t="s">
        <v>16</v>
      </c>
      <c r="B39" s="29">
        <v>201869</v>
      </c>
      <c r="C39" s="29">
        <v>335580</v>
      </c>
      <c r="D39" s="29"/>
      <c r="E39" s="30">
        <v>1000</v>
      </c>
      <c r="F39" s="24">
        <f>SUM(B39:E39)</f>
        <v>538449</v>
      </c>
      <c r="G39" s="31">
        <v>110177</v>
      </c>
      <c r="H39" s="31">
        <v>167941</v>
      </c>
      <c r="I39" s="31"/>
      <c r="J39" s="31">
        <v>47</v>
      </c>
      <c r="K39" s="32">
        <f>SUM(G39:J39)</f>
        <v>278165</v>
      </c>
      <c r="L39" s="25">
        <f t="shared" ref="L39:M41" si="21">+B39-G39</f>
        <v>91692</v>
      </c>
      <c r="M39" s="25">
        <f t="shared" si="21"/>
        <v>167639</v>
      </c>
      <c r="N39" s="25"/>
      <c r="O39" s="25">
        <f>+E39-J39</f>
        <v>953</v>
      </c>
      <c r="P39" s="26">
        <f>SUM(L39:O39)</f>
        <v>260284</v>
      </c>
      <c r="Q39" s="18"/>
    </row>
    <row r="40" spans="1:17" ht="12.75" customHeight="1">
      <c r="A40" s="22" t="s">
        <v>17</v>
      </c>
      <c r="B40" s="29">
        <v>1095</v>
      </c>
      <c r="C40" s="34"/>
      <c r="D40" s="34"/>
      <c r="E40" s="30"/>
      <c r="F40" s="24">
        <f>SUM(B40:E40)</f>
        <v>1095</v>
      </c>
      <c r="G40" s="31"/>
      <c r="H40" s="39"/>
      <c r="I40" s="39"/>
      <c r="J40" s="39"/>
      <c r="K40" s="32">
        <f>SUM(G40:J40)</f>
        <v>0</v>
      </c>
      <c r="L40" s="25">
        <f t="shared" si="21"/>
        <v>1095</v>
      </c>
      <c r="M40" s="25">
        <f t="shared" si="21"/>
        <v>0</v>
      </c>
      <c r="N40" s="25"/>
      <c r="O40" s="25">
        <f>+E40-J40</f>
        <v>0</v>
      </c>
      <c r="P40" s="26">
        <f>SUM(L40:O40)</f>
        <v>1095</v>
      </c>
      <c r="Q40" s="18"/>
    </row>
    <row r="41" spans="1:17" ht="12.75" customHeight="1">
      <c r="A41" s="22" t="s">
        <v>18</v>
      </c>
      <c r="B41" s="29">
        <v>12264</v>
      </c>
      <c r="C41" s="34"/>
      <c r="D41" s="34"/>
      <c r="E41" s="35"/>
      <c r="F41" s="24">
        <f>SUM(B41:E41)</f>
        <v>12264</v>
      </c>
      <c r="G41" s="31">
        <v>8837</v>
      </c>
      <c r="H41" s="39"/>
      <c r="I41" s="39"/>
      <c r="J41" s="39"/>
      <c r="K41" s="32">
        <f>SUM(G41:J41)</f>
        <v>8837</v>
      </c>
      <c r="L41" s="25">
        <f t="shared" si="21"/>
        <v>3427</v>
      </c>
      <c r="M41" s="25">
        <f t="shared" si="21"/>
        <v>0</v>
      </c>
      <c r="N41" s="25"/>
      <c r="O41" s="25">
        <f>+E41-J41</f>
        <v>0</v>
      </c>
      <c r="P41" s="26">
        <f>SUM(L41:O41)</f>
        <v>3427</v>
      </c>
      <c r="Q41" s="18"/>
    </row>
    <row r="42" spans="1:17" ht="12.75" customHeight="1">
      <c r="A42" s="22" t="s">
        <v>19</v>
      </c>
      <c r="B42" s="27">
        <f t="shared" ref="B42:F42" si="22">+B43+B44</f>
        <v>0</v>
      </c>
      <c r="C42" s="27">
        <f t="shared" si="22"/>
        <v>82806</v>
      </c>
      <c r="D42" s="27">
        <f t="shared" si="22"/>
        <v>0</v>
      </c>
      <c r="E42" s="27">
        <f t="shared" si="22"/>
        <v>52</v>
      </c>
      <c r="F42" s="27">
        <f t="shared" si="22"/>
        <v>82858</v>
      </c>
      <c r="G42" s="40">
        <f>+G43+G44</f>
        <v>0</v>
      </c>
      <c r="H42" s="40">
        <f>+H43+H44</f>
        <v>18791</v>
      </c>
      <c r="I42" s="40"/>
      <c r="J42" s="40">
        <f>+J43+J44</f>
        <v>52</v>
      </c>
      <c r="K42" s="40">
        <f t="shared" ref="K42" si="23">+K43+K44</f>
        <v>18843</v>
      </c>
      <c r="L42" s="27">
        <f t="shared" ref="L42:P42" si="24">+L43+L44</f>
        <v>0</v>
      </c>
      <c r="M42" s="27">
        <f t="shared" si="24"/>
        <v>64015</v>
      </c>
      <c r="N42" s="27"/>
      <c r="O42" s="27">
        <f t="shared" si="24"/>
        <v>0</v>
      </c>
      <c r="P42" s="28">
        <f t="shared" si="24"/>
        <v>64015</v>
      </c>
      <c r="Q42" s="18"/>
    </row>
    <row r="43" spans="1:17" ht="12.75" customHeight="1">
      <c r="A43" s="23" t="s">
        <v>20</v>
      </c>
      <c r="B43" s="29"/>
      <c r="C43" s="29">
        <f>82858-52</f>
        <v>82806</v>
      </c>
      <c r="D43" s="29"/>
      <c r="E43" s="30">
        <v>52</v>
      </c>
      <c r="F43" s="24">
        <f>SUM(B43:E43)</f>
        <v>82858</v>
      </c>
      <c r="G43" s="31"/>
      <c r="H43" s="31">
        <f>18843-52</f>
        <v>18791</v>
      </c>
      <c r="I43" s="31"/>
      <c r="J43" s="31">
        <v>52</v>
      </c>
      <c r="K43" s="32">
        <f>SUM(G43:J43)</f>
        <v>18843</v>
      </c>
      <c r="L43" s="25">
        <f>+B43-G43</f>
        <v>0</v>
      </c>
      <c r="M43" s="25">
        <f>+C43-H43</f>
        <v>64015</v>
      </c>
      <c r="N43" s="25"/>
      <c r="O43" s="25">
        <f>+E43-J43</f>
        <v>0</v>
      </c>
      <c r="P43" s="26">
        <f>SUM(L43:O43)</f>
        <v>64015</v>
      </c>
      <c r="Q43" s="18"/>
    </row>
    <row r="44" spans="1:17" ht="12.75" customHeight="1">
      <c r="A44" s="23" t="s">
        <v>21</v>
      </c>
      <c r="B44" s="29"/>
      <c r="C44" s="29"/>
      <c r="D44" s="29"/>
      <c r="E44" s="30"/>
      <c r="F44" s="24">
        <f>SUM(B44:E44)</f>
        <v>0</v>
      </c>
      <c r="G44" s="31"/>
      <c r="H44" s="31"/>
      <c r="I44" s="31"/>
      <c r="J44" s="31"/>
      <c r="K44" s="32">
        <f>SUM(G44:J44)</f>
        <v>0</v>
      </c>
      <c r="L44" s="25">
        <f>+B44-G44</f>
        <v>0</v>
      </c>
      <c r="M44" s="25">
        <f>+C44-H44</f>
        <v>0</v>
      </c>
      <c r="N44" s="25"/>
      <c r="O44" s="25">
        <f>+E44-J44</f>
        <v>0</v>
      </c>
      <c r="P44" s="26">
        <f>SUM(L44:O44)</f>
        <v>0</v>
      </c>
      <c r="Q44" s="18"/>
    </row>
    <row r="45" spans="1:17" ht="12.75" customHeight="1">
      <c r="A45" s="36"/>
      <c r="B45" s="29"/>
      <c r="C45" s="29"/>
      <c r="D45" s="29"/>
      <c r="E45" s="30"/>
      <c r="F45" s="24"/>
      <c r="G45" s="29"/>
      <c r="H45" s="29"/>
      <c r="I45" s="29"/>
      <c r="J45" s="29"/>
      <c r="K45" s="24"/>
      <c r="L45" s="25"/>
      <c r="M45" s="25"/>
      <c r="N45" s="25"/>
      <c r="O45" s="25"/>
      <c r="P45" s="26"/>
      <c r="Q45" s="18"/>
    </row>
    <row r="46" spans="1:17" ht="12.75" customHeight="1">
      <c r="A46" s="36" t="s">
        <v>24</v>
      </c>
      <c r="B46" s="17">
        <f t="shared" ref="B46:K46" si="25">+B47+B51</f>
        <v>3309216</v>
      </c>
      <c r="C46" s="17">
        <f t="shared" si="25"/>
        <v>3386439</v>
      </c>
      <c r="D46" s="17">
        <f t="shared" si="25"/>
        <v>0</v>
      </c>
      <c r="E46" s="17">
        <f t="shared" si="25"/>
        <v>150000</v>
      </c>
      <c r="F46" s="17">
        <f t="shared" si="25"/>
        <v>6845655</v>
      </c>
      <c r="G46" s="37">
        <f t="shared" si="25"/>
        <v>0</v>
      </c>
      <c r="H46" s="37">
        <f t="shared" si="25"/>
        <v>0</v>
      </c>
      <c r="I46" s="37">
        <f t="shared" si="25"/>
        <v>0</v>
      </c>
      <c r="J46" s="37">
        <f t="shared" si="25"/>
        <v>0</v>
      </c>
      <c r="K46" s="37">
        <f t="shared" si="25"/>
        <v>0</v>
      </c>
      <c r="L46" s="17">
        <f>+L47+L51</f>
        <v>3309216</v>
      </c>
      <c r="M46" s="17">
        <f>+M47+M51</f>
        <v>3386439</v>
      </c>
      <c r="N46" s="17"/>
      <c r="O46" s="17">
        <f>+O47+O51</f>
        <v>150000</v>
      </c>
      <c r="P46" s="17">
        <f>+P47+P51</f>
        <v>6845655</v>
      </c>
      <c r="Q46" s="18">
        <f>+K46/F46</f>
        <v>0</v>
      </c>
    </row>
    <row r="47" spans="1:17" ht="12.75" customHeight="1">
      <c r="A47" s="19" t="s">
        <v>15</v>
      </c>
      <c r="B47" s="20">
        <f t="shared" ref="B47:K47" si="26">+B48+B49+B50</f>
        <v>3309216</v>
      </c>
      <c r="C47" s="20">
        <f t="shared" si="26"/>
        <v>3386439</v>
      </c>
      <c r="D47" s="20">
        <f t="shared" si="26"/>
        <v>0</v>
      </c>
      <c r="E47" s="20">
        <f t="shared" si="26"/>
        <v>150000</v>
      </c>
      <c r="F47" s="20">
        <f t="shared" si="26"/>
        <v>6845655</v>
      </c>
      <c r="G47" s="38">
        <f t="shared" si="26"/>
        <v>0</v>
      </c>
      <c r="H47" s="38">
        <f t="shared" si="26"/>
        <v>0</v>
      </c>
      <c r="I47" s="38">
        <f t="shared" si="26"/>
        <v>0</v>
      </c>
      <c r="J47" s="38">
        <f t="shared" si="26"/>
        <v>0</v>
      </c>
      <c r="K47" s="38">
        <f t="shared" si="26"/>
        <v>0</v>
      </c>
      <c r="L47" s="20">
        <f>+L48+L49+L50</f>
        <v>3309216</v>
      </c>
      <c r="M47" s="20">
        <f>+M48+M49+M50</f>
        <v>3386439</v>
      </c>
      <c r="N47" s="20"/>
      <c r="O47" s="20">
        <f>+O48+O49+O50</f>
        <v>150000</v>
      </c>
      <c r="P47" s="21">
        <f>+P48+P49+P50</f>
        <v>6845655</v>
      </c>
      <c r="Q47" s="18"/>
    </row>
    <row r="48" spans="1:17" ht="12.75" customHeight="1">
      <c r="A48" s="22" t="s">
        <v>16</v>
      </c>
      <c r="B48" s="29">
        <v>3088140</v>
      </c>
      <c r="C48" s="29">
        <v>3386439</v>
      </c>
      <c r="D48" s="29"/>
      <c r="E48" s="30">
        <v>150000</v>
      </c>
      <c r="F48" s="24">
        <f>SUM(B48:E48)</f>
        <v>6624579</v>
      </c>
      <c r="G48" s="31"/>
      <c r="H48" s="31"/>
      <c r="I48" s="31"/>
      <c r="J48" s="31"/>
      <c r="K48" s="32">
        <f>SUM(G48:J48)</f>
        <v>0</v>
      </c>
      <c r="L48" s="25">
        <f t="shared" ref="L48:M50" si="27">+B48-G48</f>
        <v>3088140</v>
      </c>
      <c r="M48" s="25">
        <f t="shared" si="27"/>
        <v>3386439</v>
      </c>
      <c r="N48" s="25"/>
      <c r="O48" s="25">
        <f>+E48-J48</f>
        <v>150000</v>
      </c>
      <c r="P48" s="26">
        <f>SUM(L48:O48)</f>
        <v>6624579</v>
      </c>
      <c r="Q48" s="18"/>
    </row>
    <row r="49" spans="1:17" ht="12.75" customHeight="1">
      <c r="A49" s="22" t="s">
        <v>17</v>
      </c>
      <c r="B49" s="29">
        <v>18655</v>
      </c>
      <c r="C49" s="34"/>
      <c r="D49" s="34"/>
      <c r="E49" s="30"/>
      <c r="F49" s="24">
        <f>SUM(B49:E49)</f>
        <v>18655</v>
      </c>
      <c r="G49" s="31"/>
      <c r="H49" s="39"/>
      <c r="I49" s="39"/>
      <c r="J49" s="39"/>
      <c r="K49" s="32">
        <f>SUM(G49:J49)</f>
        <v>0</v>
      </c>
      <c r="L49" s="25">
        <f t="shared" si="27"/>
        <v>18655</v>
      </c>
      <c r="M49" s="25">
        <f t="shared" si="27"/>
        <v>0</v>
      </c>
      <c r="N49" s="25"/>
      <c r="O49" s="25">
        <f>+E49-J49</f>
        <v>0</v>
      </c>
      <c r="P49" s="26">
        <f>SUM(L49:O49)</f>
        <v>18655</v>
      </c>
      <c r="Q49" s="18"/>
    </row>
    <row r="50" spans="1:17" ht="12.75" customHeight="1">
      <c r="A50" s="22" t="s">
        <v>18</v>
      </c>
      <c r="B50" s="29">
        <v>202421</v>
      </c>
      <c r="C50" s="34"/>
      <c r="D50" s="34"/>
      <c r="E50" s="35"/>
      <c r="F50" s="24">
        <f>SUM(B50:E50)</f>
        <v>202421</v>
      </c>
      <c r="G50" s="31"/>
      <c r="H50" s="39"/>
      <c r="I50" s="39"/>
      <c r="J50" s="39"/>
      <c r="K50" s="32">
        <f>SUM(G50:J50)</f>
        <v>0</v>
      </c>
      <c r="L50" s="25">
        <f t="shared" si="27"/>
        <v>202421</v>
      </c>
      <c r="M50" s="25">
        <f t="shared" si="27"/>
        <v>0</v>
      </c>
      <c r="N50" s="25"/>
      <c r="O50" s="25">
        <f>+E50-J50</f>
        <v>0</v>
      </c>
      <c r="P50" s="26">
        <f>SUM(L50:O50)</f>
        <v>202421</v>
      </c>
      <c r="Q50" s="18"/>
    </row>
    <row r="51" spans="1:17" ht="12.75" customHeight="1">
      <c r="A51" s="22" t="s">
        <v>19</v>
      </c>
      <c r="B51" s="27">
        <f t="shared" ref="B51:K51" si="28">+B52+B53</f>
        <v>0</v>
      </c>
      <c r="C51" s="27">
        <f t="shared" si="28"/>
        <v>0</v>
      </c>
      <c r="D51" s="27">
        <f t="shared" si="28"/>
        <v>0</v>
      </c>
      <c r="E51" s="27">
        <f t="shared" si="28"/>
        <v>0</v>
      </c>
      <c r="F51" s="27">
        <f t="shared" si="28"/>
        <v>0</v>
      </c>
      <c r="G51" s="40">
        <f t="shared" si="28"/>
        <v>0</v>
      </c>
      <c r="H51" s="40">
        <f t="shared" si="28"/>
        <v>0</v>
      </c>
      <c r="I51" s="40">
        <f t="shared" si="28"/>
        <v>0</v>
      </c>
      <c r="J51" s="40">
        <f t="shared" si="28"/>
        <v>0</v>
      </c>
      <c r="K51" s="40">
        <f t="shared" si="28"/>
        <v>0</v>
      </c>
      <c r="L51" s="27">
        <f>+L52+L53</f>
        <v>0</v>
      </c>
      <c r="M51" s="27">
        <f>+M52+M53</f>
        <v>0</v>
      </c>
      <c r="N51" s="27"/>
      <c r="O51" s="27">
        <f>+O52+O53</f>
        <v>0</v>
      </c>
      <c r="P51" s="28">
        <f>+P52+P53</f>
        <v>0</v>
      </c>
      <c r="Q51" s="18"/>
    </row>
    <row r="52" spans="1:17" ht="12.75" customHeight="1">
      <c r="A52" s="23" t="s">
        <v>20</v>
      </c>
      <c r="B52" s="29"/>
      <c r="C52" s="29"/>
      <c r="D52" s="29"/>
      <c r="E52" s="30"/>
      <c r="F52" s="24">
        <f>SUM(B52:E52)</f>
        <v>0</v>
      </c>
      <c r="G52" s="31"/>
      <c r="H52" s="31"/>
      <c r="I52" s="31"/>
      <c r="J52" s="31"/>
      <c r="K52" s="32">
        <f>SUM(G52:J52)</f>
        <v>0</v>
      </c>
      <c r="L52" s="25">
        <f>+B52-G52</f>
        <v>0</v>
      </c>
      <c r="M52" s="25">
        <f>+C52-H52</f>
        <v>0</v>
      </c>
      <c r="N52" s="25"/>
      <c r="O52" s="25">
        <f>+E52-J52</f>
        <v>0</v>
      </c>
      <c r="P52" s="26">
        <f>SUM(L52:O52)</f>
        <v>0</v>
      </c>
      <c r="Q52" s="18"/>
    </row>
    <row r="53" spans="1:17" ht="12.75" customHeight="1">
      <c r="A53" s="23" t="s">
        <v>21</v>
      </c>
      <c r="B53" s="29"/>
      <c r="C53" s="29"/>
      <c r="D53" s="29"/>
      <c r="E53" s="30"/>
      <c r="F53" s="24">
        <f>SUM(B53:E53)</f>
        <v>0</v>
      </c>
      <c r="G53" s="31"/>
      <c r="H53" s="31"/>
      <c r="I53" s="31"/>
      <c r="J53" s="31"/>
      <c r="K53" s="32">
        <f>SUM(G53:J53)</f>
        <v>0</v>
      </c>
      <c r="L53" s="25">
        <f>+B53-G53</f>
        <v>0</v>
      </c>
      <c r="M53" s="25">
        <f>+C53-H53</f>
        <v>0</v>
      </c>
      <c r="N53" s="25"/>
      <c r="O53" s="25">
        <f>+E53-J53</f>
        <v>0</v>
      </c>
      <c r="P53" s="26">
        <f>SUM(L53:O53)</f>
        <v>0</v>
      </c>
      <c r="Q53" s="18"/>
    </row>
    <row r="54" spans="1:17" ht="12.75" customHeight="1">
      <c r="A54" s="36"/>
      <c r="B54" s="29"/>
      <c r="C54" s="29"/>
      <c r="D54" s="29"/>
      <c r="E54" s="30"/>
      <c r="F54" s="24"/>
      <c r="G54" s="31"/>
      <c r="H54" s="31"/>
      <c r="I54" s="31"/>
      <c r="J54" s="31"/>
      <c r="K54" s="32"/>
      <c r="L54" s="25"/>
      <c r="M54" s="25"/>
      <c r="N54" s="25"/>
      <c r="O54" s="25"/>
      <c r="P54" s="26"/>
      <c r="Q54" s="18"/>
    </row>
    <row r="55" spans="1:17" ht="12.75" customHeight="1">
      <c r="A55" s="33" t="s">
        <v>25</v>
      </c>
      <c r="B55" s="17">
        <f t="shared" ref="B55:K55" si="29">+B56+B60</f>
        <v>106864</v>
      </c>
      <c r="C55" s="17">
        <f t="shared" si="29"/>
        <v>42199</v>
      </c>
      <c r="D55" s="17">
        <f t="shared" si="29"/>
        <v>0</v>
      </c>
      <c r="E55" s="17">
        <f t="shared" si="29"/>
        <v>5854</v>
      </c>
      <c r="F55" s="17">
        <f t="shared" si="29"/>
        <v>154917</v>
      </c>
      <c r="G55" s="17">
        <f t="shared" si="29"/>
        <v>106625</v>
      </c>
      <c r="H55" s="17">
        <f t="shared" si="29"/>
        <v>41306</v>
      </c>
      <c r="I55" s="17">
        <f t="shared" si="29"/>
        <v>0</v>
      </c>
      <c r="J55" s="17">
        <f t="shared" si="29"/>
        <v>1067</v>
      </c>
      <c r="K55" s="17">
        <f t="shared" si="29"/>
        <v>148998</v>
      </c>
      <c r="L55" s="17">
        <f>+L56+L60</f>
        <v>239</v>
      </c>
      <c r="M55" s="17">
        <f>+M56+M60</f>
        <v>893</v>
      </c>
      <c r="N55" s="17"/>
      <c r="O55" s="17">
        <f>+O56+O60</f>
        <v>4787</v>
      </c>
      <c r="P55" s="17">
        <f>+P56+P60</f>
        <v>5919</v>
      </c>
      <c r="Q55" s="18">
        <f>+K55/F55</f>
        <v>0.96179244369565642</v>
      </c>
    </row>
    <row r="56" spans="1:17" ht="12.75" customHeight="1">
      <c r="A56" s="41" t="s">
        <v>15</v>
      </c>
      <c r="B56" s="20">
        <f t="shared" ref="B56:K56" si="30">+B57+B58+B59</f>
        <v>106864</v>
      </c>
      <c r="C56" s="20">
        <f t="shared" si="30"/>
        <v>41785</v>
      </c>
      <c r="D56" s="20">
        <f t="shared" si="30"/>
        <v>0</v>
      </c>
      <c r="E56" s="20">
        <f t="shared" si="30"/>
        <v>5854</v>
      </c>
      <c r="F56" s="20">
        <f t="shared" si="30"/>
        <v>154503</v>
      </c>
      <c r="G56" s="20">
        <f t="shared" si="30"/>
        <v>106625</v>
      </c>
      <c r="H56" s="20">
        <f t="shared" si="30"/>
        <v>40895</v>
      </c>
      <c r="I56" s="20">
        <f t="shared" si="30"/>
        <v>0</v>
      </c>
      <c r="J56" s="20">
        <f t="shared" si="30"/>
        <v>1067</v>
      </c>
      <c r="K56" s="20">
        <f t="shared" si="30"/>
        <v>148587</v>
      </c>
      <c r="L56" s="20">
        <f>+L57+L58+L59</f>
        <v>239</v>
      </c>
      <c r="M56" s="20">
        <f>+M57+M58+M59</f>
        <v>890</v>
      </c>
      <c r="N56" s="20"/>
      <c r="O56" s="20">
        <f>+O57+O58+O59</f>
        <v>4787</v>
      </c>
      <c r="P56" s="21">
        <f>+P57+P58+P59</f>
        <v>5916</v>
      </c>
      <c r="Q56" s="18"/>
    </row>
    <row r="57" spans="1:17" ht="12.75" customHeight="1">
      <c r="A57" s="22" t="s">
        <v>16</v>
      </c>
      <c r="B57" s="29">
        <v>100345</v>
      </c>
      <c r="C57" s="29">
        <v>41785</v>
      </c>
      <c r="D57" s="29"/>
      <c r="E57" s="30">
        <v>5854</v>
      </c>
      <c r="F57" s="24">
        <f>SUM(B57:E57)</f>
        <v>147984</v>
      </c>
      <c r="G57" s="29">
        <f>95523-620+5442</f>
        <v>100345</v>
      </c>
      <c r="H57" s="29">
        <f>46337-5442</f>
        <v>40895</v>
      </c>
      <c r="I57" s="29"/>
      <c r="J57" s="29">
        <v>1067</v>
      </c>
      <c r="K57" s="24">
        <f>SUM(G57:J57)</f>
        <v>142307</v>
      </c>
      <c r="L57" s="25">
        <f t="shared" ref="L57:M59" si="31">+B57-G57</f>
        <v>0</v>
      </c>
      <c r="M57" s="25">
        <f t="shared" si="31"/>
        <v>890</v>
      </c>
      <c r="N57" s="25"/>
      <c r="O57" s="25">
        <f>+E57-J57</f>
        <v>4787</v>
      </c>
      <c r="P57" s="26">
        <f>SUM(L57:O57)</f>
        <v>5677</v>
      </c>
      <c r="Q57" s="18"/>
    </row>
    <row r="58" spans="1:17" ht="12.75" customHeight="1">
      <c r="A58" s="22" t="s">
        <v>17</v>
      </c>
      <c r="B58" s="29">
        <v>620</v>
      </c>
      <c r="C58" s="34"/>
      <c r="D58" s="34"/>
      <c r="E58" s="30"/>
      <c r="F58" s="24">
        <f>SUM(B58:E58)</f>
        <v>620</v>
      </c>
      <c r="G58" s="29">
        <v>620</v>
      </c>
      <c r="H58" s="34"/>
      <c r="I58" s="34"/>
      <c r="J58" s="34"/>
      <c r="K58" s="24">
        <f>SUM(G58:J58)</f>
        <v>620</v>
      </c>
      <c r="L58" s="25">
        <f t="shared" si="31"/>
        <v>0</v>
      </c>
      <c r="M58" s="25">
        <f t="shared" si="31"/>
        <v>0</v>
      </c>
      <c r="N58" s="25"/>
      <c r="O58" s="25">
        <f>+E58-J58</f>
        <v>0</v>
      </c>
      <c r="P58" s="26">
        <f>SUM(L58:O58)</f>
        <v>0</v>
      </c>
      <c r="Q58" s="18"/>
    </row>
    <row r="59" spans="1:17" ht="12.75" customHeight="1">
      <c r="A59" s="22" t="s">
        <v>18</v>
      </c>
      <c r="B59" s="29">
        <v>5899</v>
      </c>
      <c r="C59" s="34"/>
      <c r="D59" s="34"/>
      <c r="E59" s="35"/>
      <c r="F59" s="24">
        <f>SUM(B59:E59)</f>
        <v>5899</v>
      </c>
      <c r="G59" s="29">
        <v>5660</v>
      </c>
      <c r="H59" s="34"/>
      <c r="I59" s="34"/>
      <c r="J59" s="34"/>
      <c r="K59" s="24">
        <f>SUM(G59:J59)</f>
        <v>5660</v>
      </c>
      <c r="L59" s="25">
        <f t="shared" si="31"/>
        <v>239</v>
      </c>
      <c r="M59" s="25">
        <f t="shared" si="31"/>
        <v>0</v>
      </c>
      <c r="N59" s="25"/>
      <c r="O59" s="25">
        <f>+E59-J59</f>
        <v>0</v>
      </c>
      <c r="P59" s="26">
        <f>SUM(L59:O59)</f>
        <v>239</v>
      </c>
      <c r="Q59" s="18"/>
    </row>
    <row r="60" spans="1:17" ht="12.75" customHeight="1">
      <c r="A60" s="22" t="s">
        <v>19</v>
      </c>
      <c r="B60" s="27">
        <f t="shared" ref="B60:K60" si="32">+B61+B62</f>
        <v>0</v>
      </c>
      <c r="C60" s="27">
        <f t="shared" si="32"/>
        <v>414</v>
      </c>
      <c r="D60" s="27">
        <f t="shared" si="32"/>
        <v>0</v>
      </c>
      <c r="E60" s="27">
        <f t="shared" si="32"/>
        <v>0</v>
      </c>
      <c r="F60" s="27">
        <f t="shared" si="32"/>
        <v>414</v>
      </c>
      <c r="G60" s="27">
        <f t="shared" si="32"/>
        <v>0</v>
      </c>
      <c r="H60" s="27">
        <f t="shared" si="32"/>
        <v>411</v>
      </c>
      <c r="I60" s="27">
        <f t="shared" si="32"/>
        <v>0</v>
      </c>
      <c r="J60" s="27">
        <f t="shared" si="32"/>
        <v>0</v>
      </c>
      <c r="K60" s="27">
        <f t="shared" si="32"/>
        <v>411</v>
      </c>
      <c r="L60" s="27">
        <f t="shared" ref="L60:P60" si="33">+L61+L62</f>
        <v>0</v>
      </c>
      <c r="M60" s="27">
        <f t="shared" si="33"/>
        <v>3</v>
      </c>
      <c r="N60" s="27"/>
      <c r="O60" s="27">
        <f t="shared" si="33"/>
        <v>0</v>
      </c>
      <c r="P60" s="28">
        <f t="shared" si="33"/>
        <v>3</v>
      </c>
      <c r="Q60" s="18"/>
    </row>
    <row r="61" spans="1:17" ht="12.75" customHeight="1">
      <c r="A61" s="23" t="s">
        <v>20</v>
      </c>
      <c r="B61" s="29"/>
      <c r="C61" s="29">
        <v>414</v>
      </c>
      <c r="D61" s="29"/>
      <c r="E61" s="30"/>
      <c r="F61" s="24">
        <f>SUM(B61:E61)</f>
        <v>414</v>
      </c>
      <c r="G61" s="29"/>
      <c r="H61" s="29">
        <v>411</v>
      </c>
      <c r="I61" s="29"/>
      <c r="J61" s="29"/>
      <c r="K61" s="24">
        <f>SUM(G61:J61)</f>
        <v>411</v>
      </c>
      <c r="L61" s="25">
        <f>+B61-G61</f>
        <v>0</v>
      </c>
      <c r="M61" s="25">
        <f>+C61-H61</f>
        <v>3</v>
      </c>
      <c r="N61" s="25"/>
      <c r="O61" s="25">
        <f>+E61-J61</f>
        <v>0</v>
      </c>
      <c r="P61" s="26">
        <f>SUM(L61:O61)</f>
        <v>3</v>
      </c>
      <c r="Q61" s="18"/>
    </row>
    <row r="62" spans="1:17" ht="12.75" customHeight="1">
      <c r="A62" s="23" t="s">
        <v>21</v>
      </c>
      <c r="B62" s="29"/>
      <c r="C62" s="29"/>
      <c r="D62" s="29"/>
      <c r="E62" s="30"/>
      <c r="F62" s="24"/>
      <c r="G62" s="29"/>
      <c r="H62" s="29"/>
      <c r="I62" s="29"/>
      <c r="J62" s="29"/>
      <c r="K62" s="24">
        <f>SUM(G62:J62)</f>
        <v>0</v>
      </c>
      <c r="L62" s="25">
        <f>+B62-G62</f>
        <v>0</v>
      </c>
      <c r="M62" s="25">
        <f>+C62-H62</f>
        <v>0</v>
      </c>
      <c r="N62" s="25"/>
      <c r="O62" s="25">
        <f>+E62-J62</f>
        <v>0</v>
      </c>
      <c r="P62" s="26">
        <f>SUM(L62:O62)</f>
        <v>0</v>
      </c>
      <c r="Q62" s="18"/>
    </row>
    <row r="63" spans="1:17" ht="12.75" customHeight="1">
      <c r="A63" s="65"/>
      <c r="B63" s="27"/>
      <c r="C63" s="27"/>
      <c r="D63" s="27"/>
      <c r="E63" s="28"/>
      <c r="F63" s="77"/>
      <c r="G63" s="40"/>
      <c r="H63" s="40"/>
      <c r="I63" s="40"/>
      <c r="J63" s="40"/>
      <c r="K63" s="82"/>
      <c r="L63" s="44"/>
      <c r="M63" s="44"/>
      <c r="N63" s="44"/>
      <c r="O63" s="44"/>
      <c r="P63" s="75"/>
      <c r="Q63" s="76"/>
    </row>
    <row r="64" spans="1:17">
      <c r="A64" s="80"/>
    </row>
    <row r="65" spans="1:1">
      <c r="A65" s="80" t="s">
        <v>355</v>
      </c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67" fitToWidth="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45"/>
  <sheetViews>
    <sheetView showRuler="0" zoomScaleSheetLayoutView="100" workbookViewId="0">
      <pane xSplit="1" ySplit="8" topLeftCell="B93" activePane="bottomRight" state="frozen"/>
      <selection activeCell="A1459" sqref="A1459"/>
      <selection pane="topRight" activeCell="A1459" sqref="A1459"/>
      <selection pane="bottomLeft" activeCell="A1459" sqref="A1459"/>
      <selection pane="bottomRight" activeCell="G108" sqref="G108"/>
    </sheetView>
  </sheetViews>
  <sheetFormatPr defaultRowHeight="12.75"/>
  <cols>
    <col min="1" max="1" width="32.5703125" style="81" customWidth="1"/>
    <col min="2" max="2" width="13.42578125" style="5" bestFit="1" customWidth="1"/>
    <col min="3" max="3" width="12" style="5" bestFit="1" customWidth="1"/>
    <col min="4" max="4" width="7.4257812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7.4257812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7.71093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59</v>
      </c>
      <c r="B10" s="17">
        <f t="shared" ref="B10:P10" si="0">+B11+B15</f>
        <v>7619856</v>
      </c>
      <c r="C10" s="17">
        <f t="shared" si="0"/>
        <v>10622012</v>
      </c>
      <c r="D10" s="17">
        <f t="shared" si="0"/>
        <v>686443</v>
      </c>
      <c r="E10" s="17">
        <f t="shared" si="0"/>
        <v>3760877</v>
      </c>
      <c r="F10" s="17">
        <f t="shared" si="0"/>
        <v>22689188</v>
      </c>
      <c r="G10" s="17">
        <f t="shared" si="0"/>
        <v>7007430</v>
      </c>
      <c r="H10" s="17">
        <f t="shared" si="0"/>
        <v>7271919</v>
      </c>
      <c r="I10" s="17">
        <f t="shared" si="0"/>
        <v>664823</v>
      </c>
      <c r="J10" s="17">
        <f t="shared" si="0"/>
        <v>1546289</v>
      </c>
      <c r="K10" s="17">
        <f t="shared" si="0"/>
        <v>16490461</v>
      </c>
      <c r="L10" s="17">
        <f t="shared" si="0"/>
        <v>612426</v>
      </c>
      <c r="M10" s="17">
        <f t="shared" si="0"/>
        <v>3350093</v>
      </c>
      <c r="N10" s="17">
        <f t="shared" si="0"/>
        <v>21620</v>
      </c>
      <c r="O10" s="17">
        <f t="shared" si="0"/>
        <v>2214588</v>
      </c>
      <c r="P10" s="17">
        <f t="shared" si="0"/>
        <v>6198727</v>
      </c>
      <c r="Q10" s="18">
        <f>+K10/F10</f>
        <v>0.72679820009424756</v>
      </c>
    </row>
    <row r="11" spans="1:18" ht="12.75" customHeight="1">
      <c r="A11" s="41" t="s">
        <v>15</v>
      </c>
      <c r="B11" s="20">
        <f t="shared" ref="B11:P11" si="1">+B12+B13+B14</f>
        <v>7619856</v>
      </c>
      <c r="C11" s="20">
        <f t="shared" si="1"/>
        <v>8932335</v>
      </c>
      <c r="D11" s="20">
        <f t="shared" si="1"/>
        <v>686443</v>
      </c>
      <c r="E11" s="20">
        <f t="shared" si="1"/>
        <v>3615203</v>
      </c>
      <c r="F11" s="20">
        <f t="shared" si="1"/>
        <v>20853837</v>
      </c>
      <c r="G11" s="20">
        <f t="shared" si="1"/>
        <v>7007430</v>
      </c>
      <c r="H11" s="20">
        <f t="shared" si="1"/>
        <v>7086589</v>
      </c>
      <c r="I11" s="20">
        <f t="shared" si="1"/>
        <v>664823</v>
      </c>
      <c r="J11" s="20">
        <f t="shared" si="1"/>
        <v>1546289</v>
      </c>
      <c r="K11" s="20">
        <f t="shared" si="1"/>
        <v>16305131</v>
      </c>
      <c r="L11" s="20">
        <f t="shared" si="1"/>
        <v>612426</v>
      </c>
      <c r="M11" s="20">
        <f t="shared" si="1"/>
        <v>1845746</v>
      </c>
      <c r="N11" s="20">
        <f t="shared" si="1"/>
        <v>21620</v>
      </c>
      <c r="O11" s="20">
        <f t="shared" si="1"/>
        <v>2068914</v>
      </c>
      <c r="P11" s="21">
        <f t="shared" si="1"/>
        <v>4548706</v>
      </c>
      <c r="Q11" s="18"/>
    </row>
    <row r="12" spans="1:18" ht="12.75" customHeight="1">
      <c r="A12" s="22" t="s">
        <v>16</v>
      </c>
      <c r="B12" s="23">
        <f t="shared" ref="B12:E14" si="2">+B21+B30+B39+B48+B57+B66+B75+B84+B93+B102+B111</f>
        <v>5876973</v>
      </c>
      <c r="C12" s="23">
        <f t="shared" si="2"/>
        <v>4742487</v>
      </c>
      <c r="D12" s="23">
        <f t="shared" si="2"/>
        <v>686443</v>
      </c>
      <c r="E12" s="23">
        <f t="shared" si="2"/>
        <v>146523</v>
      </c>
      <c r="F12" s="24">
        <f>SUM(B12:E12)</f>
        <v>11452426</v>
      </c>
      <c r="G12" s="23">
        <f t="shared" ref="G12:J14" si="3">+G21+G30+G39+G48+G57+G66+G75+G84+G93+G102+G111</f>
        <v>5354408</v>
      </c>
      <c r="H12" s="23">
        <f t="shared" si="3"/>
        <v>2965998</v>
      </c>
      <c r="I12" s="23">
        <f t="shared" si="3"/>
        <v>664823</v>
      </c>
      <c r="J12" s="23">
        <f t="shared" si="3"/>
        <v>70678</v>
      </c>
      <c r="K12" s="24">
        <f>SUM(G12:J12)</f>
        <v>9055907</v>
      </c>
      <c r="L12" s="25">
        <f t="shared" ref="L12:O14" si="4">+B12-G12</f>
        <v>522565</v>
      </c>
      <c r="M12" s="25">
        <f t="shared" si="4"/>
        <v>1776489</v>
      </c>
      <c r="N12" s="25">
        <f t="shared" si="4"/>
        <v>21620</v>
      </c>
      <c r="O12" s="25">
        <f t="shared" si="4"/>
        <v>75845</v>
      </c>
      <c r="P12" s="26">
        <f>SUM(L12:O12)</f>
        <v>2396519</v>
      </c>
      <c r="Q12" s="18"/>
    </row>
    <row r="13" spans="1:18" ht="12.75" customHeight="1">
      <c r="A13" s="22" t="s">
        <v>17</v>
      </c>
      <c r="B13" s="23">
        <f t="shared" si="2"/>
        <v>1073061</v>
      </c>
      <c r="C13" s="23">
        <f t="shared" si="2"/>
        <v>123831</v>
      </c>
      <c r="D13" s="23">
        <f t="shared" si="2"/>
        <v>0</v>
      </c>
      <c r="E13" s="23">
        <f t="shared" si="2"/>
        <v>1077185</v>
      </c>
      <c r="F13" s="24">
        <f>SUM(B13:E13)</f>
        <v>2274077</v>
      </c>
      <c r="G13" s="23">
        <f t="shared" si="3"/>
        <v>1039562</v>
      </c>
      <c r="H13" s="23">
        <f t="shared" si="3"/>
        <v>110347</v>
      </c>
      <c r="I13" s="23">
        <f t="shared" si="3"/>
        <v>0</v>
      </c>
      <c r="J13" s="23">
        <f t="shared" si="3"/>
        <v>1077185</v>
      </c>
      <c r="K13" s="24">
        <f>SUM(G13:J13)</f>
        <v>2227094</v>
      </c>
      <c r="L13" s="25">
        <f t="shared" si="4"/>
        <v>33499</v>
      </c>
      <c r="M13" s="25">
        <f t="shared" si="4"/>
        <v>13484</v>
      </c>
      <c r="N13" s="25">
        <f t="shared" si="4"/>
        <v>0</v>
      </c>
      <c r="O13" s="25">
        <f t="shared" si="4"/>
        <v>0</v>
      </c>
      <c r="P13" s="26">
        <f>SUM(L13:O13)</f>
        <v>46983</v>
      </c>
      <c r="Q13" s="18"/>
    </row>
    <row r="14" spans="1:18" ht="12.75" customHeight="1">
      <c r="A14" s="22" t="s">
        <v>18</v>
      </c>
      <c r="B14" s="23">
        <f t="shared" si="2"/>
        <v>669822</v>
      </c>
      <c r="C14" s="23">
        <f t="shared" si="2"/>
        <v>4066017</v>
      </c>
      <c r="D14" s="23">
        <f t="shared" si="2"/>
        <v>0</v>
      </c>
      <c r="E14" s="23">
        <f t="shared" si="2"/>
        <v>2391495</v>
      </c>
      <c r="F14" s="24">
        <f>SUM(B14:E14)</f>
        <v>7127334</v>
      </c>
      <c r="G14" s="23">
        <f t="shared" si="3"/>
        <v>613460</v>
      </c>
      <c r="H14" s="23">
        <f t="shared" si="3"/>
        <v>4010244</v>
      </c>
      <c r="I14" s="23">
        <f t="shared" si="3"/>
        <v>0</v>
      </c>
      <c r="J14" s="23">
        <f t="shared" si="3"/>
        <v>398426</v>
      </c>
      <c r="K14" s="24">
        <f>SUM(G14:J14)</f>
        <v>5022130</v>
      </c>
      <c r="L14" s="25">
        <f t="shared" si="4"/>
        <v>56362</v>
      </c>
      <c r="M14" s="25">
        <f t="shared" si="4"/>
        <v>55773</v>
      </c>
      <c r="N14" s="25">
        <f t="shared" si="4"/>
        <v>0</v>
      </c>
      <c r="O14" s="25">
        <f t="shared" si="4"/>
        <v>1993069</v>
      </c>
      <c r="P14" s="26">
        <f>SUM(L14:O14)</f>
        <v>2105204</v>
      </c>
      <c r="Q14" s="18"/>
    </row>
    <row r="15" spans="1:18" ht="12.75" customHeight="1">
      <c r="A15" s="22" t="s">
        <v>19</v>
      </c>
      <c r="B15" s="44">
        <f t="shared" ref="B15:P15" si="5">+B16+B17</f>
        <v>0</v>
      </c>
      <c r="C15" s="44">
        <f t="shared" si="5"/>
        <v>1689677</v>
      </c>
      <c r="D15" s="44">
        <f t="shared" si="5"/>
        <v>0</v>
      </c>
      <c r="E15" s="45">
        <f t="shared" si="5"/>
        <v>145674</v>
      </c>
      <c r="F15" s="44">
        <f t="shared" si="5"/>
        <v>1835351</v>
      </c>
      <c r="G15" s="44">
        <f t="shared" si="5"/>
        <v>0</v>
      </c>
      <c r="H15" s="44">
        <f t="shared" si="5"/>
        <v>185330</v>
      </c>
      <c r="I15" s="44">
        <f t="shared" si="5"/>
        <v>0</v>
      </c>
      <c r="J15" s="45">
        <f t="shared" si="5"/>
        <v>0</v>
      </c>
      <c r="K15" s="44">
        <f t="shared" si="5"/>
        <v>185330</v>
      </c>
      <c r="L15" s="44">
        <f t="shared" si="5"/>
        <v>0</v>
      </c>
      <c r="M15" s="44">
        <f t="shared" si="5"/>
        <v>1504347</v>
      </c>
      <c r="N15" s="44">
        <f t="shared" si="5"/>
        <v>0</v>
      </c>
      <c r="O15" s="44">
        <f t="shared" si="5"/>
        <v>145674</v>
      </c>
      <c r="P15" s="45">
        <f t="shared" si="5"/>
        <v>1650021</v>
      </c>
      <c r="Q15" s="18"/>
    </row>
    <row r="16" spans="1:18" ht="12.75" customHeight="1">
      <c r="A16" s="23" t="s">
        <v>20</v>
      </c>
      <c r="B16" s="23">
        <f t="shared" ref="B16:E17" si="6">+B25+B34+B43+B52+B61+B70+B79+B88+B97+B106+B115</f>
        <v>0</v>
      </c>
      <c r="C16" s="23">
        <f t="shared" si="6"/>
        <v>1332660</v>
      </c>
      <c r="D16" s="23">
        <f t="shared" si="6"/>
        <v>0</v>
      </c>
      <c r="E16" s="23">
        <f t="shared" si="6"/>
        <v>145674</v>
      </c>
      <c r="F16" s="24">
        <f>SUM(B16:E16)</f>
        <v>1478334</v>
      </c>
      <c r="G16" s="23">
        <f t="shared" ref="G16:J17" si="7">+G25+G34+G43+G52+G61+G70+G79+G88+G97+G106+G115</f>
        <v>0</v>
      </c>
      <c r="H16" s="23">
        <f t="shared" si="7"/>
        <v>185330</v>
      </c>
      <c r="I16" s="23">
        <f t="shared" si="7"/>
        <v>0</v>
      </c>
      <c r="J16" s="23">
        <f t="shared" si="7"/>
        <v>0</v>
      </c>
      <c r="K16" s="24">
        <f>SUM(G16:J16)</f>
        <v>185330</v>
      </c>
      <c r="L16" s="25">
        <f t="shared" ref="L16:O17" si="8">+B16-G16</f>
        <v>0</v>
      </c>
      <c r="M16" s="25">
        <f t="shared" si="8"/>
        <v>1147330</v>
      </c>
      <c r="N16" s="25">
        <f t="shared" si="8"/>
        <v>0</v>
      </c>
      <c r="O16" s="25">
        <f t="shared" si="8"/>
        <v>145674</v>
      </c>
      <c r="P16" s="26">
        <f>SUM(L16:O16)</f>
        <v>1293004</v>
      </c>
      <c r="Q16" s="18"/>
    </row>
    <row r="17" spans="1:17" ht="12.75" customHeight="1">
      <c r="A17" s="23" t="s">
        <v>21</v>
      </c>
      <c r="B17" s="23">
        <f t="shared" si="6"/>
        <v>0</v>
      </c>
      <c r="C17" s="23">
        <f t="shared" si="6"/>
        <v>357017</v>
      </c>
      <c r="D17" s="23">
        <f t="shared" si="6"/>
        <v>0</v>
      </c>
      <c r="E17" s="23">
        <f t="shared" si="6"/>
        <v>0</v>
      </c>
      <c r="F17" s="24">
        <f>SUM(B17:E17)</f>
        <v>357017</v>
      </c>
      <c r="G17" s="23">
        <f t="shared" si="7"/>
        <v>0</v>
      </c>
      <c r="H17" s="23">
        <f t="shared" si="7"/>
        <v>0</v>
      </c>
      <c r="I17" s="23">
        <f t="shared" si="7"/>
        <v>0</v>
      </c>
      <c r="J17" s="23">
        <f t="shared" si="7"/>
        <v>0</v>
      </c>
      <c r="K17" s="24">
        <f>SUM(G17:J17)</f>
        <v>0</v>
      </c>
      <c r="L17" s="25">
        <f t="shared" si="8"/>
        <v>0</v>
      </c>
      <c r="M17" s="25">
        <f t="shared" si="8"/>
        <v>357017</v>
      </c>
      <c r="N17" s="25">
        <f t="shared" si="8"/>
        <v>0</v>
      </c>
      <c r="O17" s="25">
        <f t="shared" si="8"/>
        <v>0</v>
      </c>
      <c r="P17" s="26">
        <f>SUM(L17:O17)</f>
        <v>357017</v>
      </c>
      <c r="Q17" s="18"/>
    </row>
    <row r="18" spans="1:17" ht="12.75" customHeight="1">
      <c r="A18" s="22"/>
      <c r="B18" s="25"/>
      <c r="C18" s="25"/>
      <c r="D18" s="25"/>
      <c r="E18" s="43"/>
      <c r="F18" s="24"/>
      <c r="G18" s="47"/>
      <c r="H18" s="47"/>
      <c r="I18" s="47"/>
      <c r="J18" s="47"/>
      <c r="K18" s="32"/>
      <c r="L18" s="25"/>
      <c r="M18" s="25"/>
      <c r="N18" s="25"/>
      <c r="O18" s="25"/>
      <c r="P18" s="26"/>
      <c r="Q18" s="18"/>
    </row>
    <row r="19" spans="1:17" ht="12.75" customHeight="1">
      <c r="A19" s="33" t="s">
        <v>31</v>
      </c>
      <c r="B19" s="17">
        <f t="shared" ref="B19:K19" si="9">+B20+B24</f>
        <v>246399</v>
      </c>
      <c r="C19" s="17">
        <f t="shared" si="9"/>
        <v>799133</v>
      </c>
      <c r="D19" s="17">
        <f t="shared" si="9"/>
        <v>0</v>
      </c>
      <c r="E19" s="17">
        <f t="shared" si="9"/>
        <v>43934</v>
      </c>
      <c r="F19" s="17">
        <f t="shared" si="9"/>
        <v>1089466</v>
      </c>
      <c r="G19" s="17">
        <f t="shared" si="9"/>
        <v>240297</v>
      </c>
      <c r="H19" s="17">
        <f t="shared" si="9"/>
        <v>306638</v>
      </c>
      <c r="I19" s="17">
        <f t="shared" si="9"/>
        <v>0</v>
      </c>
      <c r="J19" s="17">
        <f t="shared" si="9"/>
        <v>8773</v>
      </c>
      <c r="K19" s="17">
        <f t="shared" si="9"/>
        <v>555708</v>
      </c>
      <c r="L19" s="17">
        <f>+L20+L24</f>
        <v>6102</v>
      </c>
      <c r="M19" s="17">
        <f>+M20+M24</f>
        <v>492495</v>
      </c>
      <c r="N19" s="17"/>
      <c r="O19" s="17">
        <f>+O20+O24</f>
        <v>35161</v>
      </c>
      <c r="P19" s="17">
        <f>+P20+P24</f>
        <v>533758</v>
      </c>
      <c r="Q19" s="18">
        <f>+K19/F19</f>
        <v>0.51007374254910198</v>
      </c>
    </row>
    <row r="20" spans="1:17" ht="12.75" customHeight="1">
      <c r="A20" s="41" t="s">
        <v>15</v>
      </c>
      <c r="B20" s="20">
        <f t="shared" ref="B20:K20" si="10">+B21+B22+B23</f>
        <v>246399</v>
      </c>
      <c r="C20" s="20">
        <f t="shared" si="10"/>
        <v>401954</v>
      </c>
      <c r="D20" s="20">
        <f t="shared" si="10"/>
        <v>0</v>
      </c>
      <c r="E20" s="20">
        <f t="shared" si="10"/>
        <v>17568</v>
      </c>
      <c r="F20" s="20">
        <f t="shared" si="10"/>
        <v>665921</v>
      </c>
      <c r="G20" s="20">
        <f t="shared" si="10"/>
        <v>240297</v>
      </c>
      <c r="H20" s="20">
        <f t="shared" si="10"/>
        <v>306638</v>
      </c>
      <c r="I20" s="20">
        <f t="shared" si="10"/>
        <v>0</v>
      </c>
      <c r="J20" s="20">
        <f t="shared" si="10"/>
        <v>8773</v>
      </c>
      <c r="K20" s="20">
        <f t="shared" si="10"/>
        <v>555708</v>
      </c>
      <c r="L20" s="20">
        <f>+L21+L22+L23</f>
        <v>6102</v>
      </c>
      <c r="M20" s="20">
        <f>+M21+M22+M23</f>
        <v>95316</v>
      </c>
      <c r="N20" s="20"/>
      <c r="O20" s="20">
        <f>+O21+O22+O23</f>
        <v>8795</v>
      </c>
      <c r="P20" s="21">
        <f>+P21+P22+P23</f>
        <v>110213</v>
      </c>
      <c r="Q20" s="18"/>
    </row>
    <row r="21" spans="1:17" ht="12.75" customHeight="1">
      <c r="A21" s="22" t="s">
        <v>16</v>
      </c>
      <c r="B21" s="29">
        <v>193067</v>
      </c>
      <c r="C21" s="29">
        <v>234123</v>
      </c>
      <c r="D21" s="29"/>
      <c r="E21" s="30">
        <v>11568</v>
      </c>
      <c r="F21" s="24">
        <f>SUM(B21:E21)</f>
        <v>438758</v>
      </c>
      <c r="G21" s="29">
        <f>187765+2024</f>
        <v>189789</v>
      </c>
      <c r="H21" s="29">
        <v>196291</v>
      </c>
      <c r="I21" s="29"/>
      <c r="J21" s="29">
        <v>8773</v>
      </c>
      <c r="K21" s="24">
        <f>SUM(G21:J21)</f>
        <v>394853</v>
      </c>
      <c r="L21" s="25">
        <f t="shared" ref="L21:M23" si="11">+B21-G21</f>
        <v>3278</v>
      </c>
      <c r="M21" s="25">
        <f t="shared" si="11"/>
        <v>37832</v>
      </c>
      <c r="N21" s="25"/>
      <c r="O21" s="25">
        <f>+E21-J21</f>
        <v>2795</v>
      </c>
      <c r="P21" s="26">
        <f>SUM(L21:O21)</f>
        <v>43905</v>
      </c>
      <c r="Q21" s="18"/>
    </row>
    <row r="22" spans="1:17" ht="12.75" customHeight="1">
      <c r="A22" s="22" t="s">
        <v>17</v>
      </c>
      <c r="B22" s="29">
        <v>33873</v>
      </c>
      <c r="C22" s="29">
        <v>123831</v>
      </c>
      <c r="D22" s="29"/>
      <c r="E22" s="30"/>
      <c r="F22" s="24">
        <f>SUM(B22:E22)</f>
        <v>157704</v>
      </c>
      <c r="G22" s="29">
        <f>35897-2024</f>
        <v>33873</v>
      </c>
      <c r="H22" s="29">
        <v>110347</v>
      </c>
      <c r="I22" s="29"/>
      <c r="J22" s="29"/>
      <c r="K22" s="24">
        <f>SUM(G22:J22)</f>
        <v>144220</v>
      </c>
      <c r="L22" s="25">
        <f t="shared" si="11"/>
        <v>0</v>
      </c>
      <c r="M22" s="25">
        <f t="shared" si="11"/>
        <v>13484</v>
      </c>
      <c r="N22" s="25"/>
      <c r="O22" s="25">
        <f>+E22-J22</f>
        <v>0</v>
      </c>
      <c r="P22" s="26">
        <f>SUM(L22:O22)</f>
        <v>13484</v>
      </c>
      <c r="Q22" s="18"/>
    </row>
    <row r="23" spans="1:17" ht="12.75" customHeight="1">
      <c r="A23" s="22" t="s">
        <v>18</v>
      </c>
      <c r="B23" s="29">
        <v>19459</v>
      </c>
      <c r="C23" s="29">
        <v>44000</v>
      </c>
      <c r="D23" s="29"/>
      <c r="E23" s="30">
        <v>6000</v>
      </c>
      <c r="F23" s="24">
        <f>SUM(B23:E23)</f>
        <v>69459</v>
      </c>
      <c r="G23" s="29">
        <v>16635</v>
      </c>
      <c r="H23" s="34"/>
      <c r="I23" s="34"/>
      <c r="J23" s="34"/>
      <c r="K23" s="24">
        <f>SUM(G23:J23)</f>
        <v>16635</v>
      </c>
      <c r="L23" s="25">
        <f t="shared" si="11"/>
        <v>2824</v>
      </c>
      <c r="M23" s="25">
        <f t="shared" si="11"/>
        <v>44000</v>
      </c>
      <c r="N23" s="25"/>
      <c r="O23" s="25">
        <f>+E23-J23</f>
        <v>6000</v>
      </c>
      <c r="P23" s="26">
        <f>SUM(L23:O23)</f>
        <v>52824</v>
      </c>
      <c r="Q23" s="18"/>
    </row>
    <row r="24" spans="1:17" ht="12.75" customHeight="1">
      <c r="A24" s="22" t="s">
        <v>19</v>
      </c>
      <c r="B24" s="27">
        <f t="shared" ref="B24:K24" si="12">+B25+B26</f>
        <v>0</v>
      </c>
      <c r="C24" s="27">
        <f t="shared" si="12"/>
        <v>397179</v>
      </c>
      <c r="D24" s="27">
        <f t="shared" si="12"/>
        <v>0</v>
      </c>
      <c r="E24" s="27">
        <f t="shared" si="12"/>
        <v>26366</v>
      </c>
      <c r="F24" s="27">
        <f t="shared" si="12"/>
        <v>423545</v>
      </c>
      <c r="G24" s="27">
        <f t="shared" si="12"/>
        <v>0</v>
      </c>
      <c r="H24" s="27">
        <f t="shared" si="12"/>
        <v>0</v>
      </c>
      <c r="I24" s="27">
        <f t="shared" si="12"/>
        <v>0</v>
      </c>
      <c r="J24" s="27">
        <f t="shared" si="12"/>
        <v>0</v>
      </c>
      <c r="K24" s="27">
        <f t="shared" si="12"/>
        <v>0</v>
      </c>
      <c r="L24" s="27">
        <f t="shared" ref="L24:P24" si="13">+L25+L26</f>
        <v>0</v>
      </c>
      <c r="M24" s="27">
        <f t="shared" si="13"/>
        <v>397179</v>
      </c>
      <c r="N24" s="27"/>
      <c r="O24" s="27">
        <f t="shared" si="13"/>
        <v>26366</v>
      </c>
      <c r="P24" s="28">
        <f t="shared" si="13"/>
        <v>423545</v>
      </c>
      <c r="Q24" s="18"/>
    </row>
    <row r="25" spans="1:17" ht="12.75" customHeight="1">
      <c r="A25" s="23" t="s">
        <v>20</v>
      </c>
      <c r="B25" s="29"/>
      <c r="C25" s="29">
        <v>40162</v>
      </c>
      <c r="D25" s="29"/>
      <c r="E25" s="30">
        <v>26366</v>
      </c>
      <c r="F25" s="24">
        <f>SUM(B25:E25)</f>
        <v>66528</v>
      </c>
      <c r="G25" s="29"/>
      <c r="H25" s="29"/>
      <c r="I25" s="29"/>
      <c r="J25" s="29"/>
      <c r="K25" s="24">
        <f>SUM(G25:J25)</f>
        <v>0</v>
      </c>
      <c r="L25" s="25">
        <f>+B25-G25</f>
        <v>0</v>
      </c>
      <c r="M25" s="25">
        <f>+C25-H25</f>
        <v>40162</v>
      </c>
      <c r="N25" s="25"/>
      <c r="O25" s="25">
        <f>+E25-J25</f>
        <v>26366</v>
      </c>
      <c r="P25" s="26">
        <f>SUM(L25:O25)</f>
        <v>66528</v>
      </c>
      <c r="Q25" s="18"/>
    </row>
    <row r="26" spans="1:17" ht="12.75" customHeight="1">
      <c r="A26" s="23" t="s">
        <v>21</v>
      </c>
      <c r="B26" s="29"/>
      <c r="C26" s="29">
        <v>357017</v>
      </c>
      <c r="D26" s="29"/>
      <c r="E26" s="30"/>
      <c r="F26" s="24">
        <f>SUM(B26:E26)</f>
        <v>357017</v>
      </c>
      <c r="G26" s="29"/>
      <c r="H26" s="29"/>
      <c r="I26" s="29"/>
      <c r="J26" s="29"/>
      <c r="K26" s="24">
        <f>SUM(G26:J26)</f>
        <v>0</v>
      </c>
      <c r="L26" s="25">
        <f>+B26-G26</f>
        <v>0</v>
      </c>
      <c r="M26" s="25">
        <f>+C26-H26</f>
        <v>357017</v>
      </c>
      <c r="N26" s="25"/>
      <c r="O26" s="25">
        <f>+E26-J26</f>
        <v>0</v>
      </c>
      <c r="P26" s="26">
        <f>SUM(L26:O26)</f>
        <v>357017</v>
      </c>
      <c r="Q26" s="18"/>
    </row>
    <row r="27" spans="1:17" ht="12.75" customHeight="1">
      <c r="A27" s="33"/>
      <c r="B27" s="25"/>
      <c r="C27" s="25"/>
      <c r="D27" s="25"/>
      <c r="E27" s="43"/>
      <c r="F27" s="24"/>
      <c r="G27" s="47"/>
      <c r="H27" s="47"/>
      <c r="I27" s="47"/>
      <c r="J27" s="47"/>
      <c r="K27" s="32"/>
      <c r="L27" s="25"/>
      <c r="M27" s="25"/>
      <c r="N27" s="25"/>
      <c r="O27" s="25"/>
      <c r="P27" s="26"/>
      <c r="Q27" s="18"/>
    </row>
    <row r="28" spans="1:17" ht="12.75" customHeight="1">
      <c r="A28" s="33" t="s">
        <v>60</v>
      </c>
      <c r="B28" s="17">
        <f t="shared" ref="B28:K28" si="14">+B29+B33</f>
        <v>1417789</v>
      </c>
      <c r="C28" s="17">
        <f t="shared" si="14"/>
        <v>1471362</v>
      </c>
      <c r="D28" s="17">
        <f t="shared" si="14"/>
        <v>0</v>
      </c>
      <c r="E28" s="17">
        <f t="shared" si="14"/>
        <v>0</v>
      </c>
      <c r="F28" s="17">
        <f t="shared" si="14"/>
        <v>2889151</v>
      </c>
      <c r="G28" s="17">
        <f t="shared" si="14"/>
        <v>1417789</v>
      </c>
      <c r="H28" s="17">
        <f t="shared" si="14"/>
        <v>788441</v>
      </c>
      <c r="I28" s="17"/>
      <c r="J28" s="17">
        <f t="shared" si="14"/>
        <v>0</v>
      </c>
      <c r="K28" s="17">
        <f t="shared" si="14"/>
        <v>2206230</v>
      </c>
      <c r="L28" s="17">
        <f>+L29+L33</f>
        <v>0</v>
      </c>
      <c r="M28" s="17">
        <f>+M29+M33</f>
        <v>682921</v>
      </c>
      <c r="N28" s="17"/>
      <c r="O28" s="17">
        <f>+O29+O33</f>
        <v>0</v>
      </c>
      <c r="P28" s="17">
        <f>+P29+P33</f>
        <v>682921</v>
      </c>
      <c r="Q28" s="18">
        <f>+K28/F28</f>
        <v>0.76362571565141457</v>
      </c>
    </row>
    <row r="29" spans="1:17" ht="12.75" customHeight="1">
      <c r="A29" s="41" t="s">
        <v>15</v>
      </c>
      <c r="B29" s="20">
        <f t="shared" ref="B29:J29" si="15">+B30+B31+B32</f>
        <v>1417789</v>
      </c>
      <c r="C29" s="20">
        <f t="shared" si="15"/>
        <v>1097176</v>
      </c>
      <c r="D29" s="20">
        <f t="shared" si="15"/>
        <v>0</v>
      </c>
      <c r="E29" s="20">
        <f t="shared" si="15"/>
        <v>0</v>
      </c>
      <c r="F29" s="20">
        <f t="shared" si="15"/>
        <v>2514965</v>
      </c>
      <c r="G29" s="20">
        <f t="shared" si="15"/>
        <v>1417789</v>
      </c>
      <c r="H29" s="20">
        <f t="shared" si="15"/>
        <v>781146</v>
      </c>
      <c r="I29" s="20"/>
      <c r="J29" s="20">
        <f t="shared" si="15"/>
        <v>0</v>
      </c>
      <c r="K29" s="20">
        <f>+K30+K31+K32</f>
        <v>2198935</v>
      </c>
      <c r="L29" s="20">
        <f>+L30+L31+L32</f>
        <v>0</v>
      </c>
      <c r="M29" s="20">
        <f>+M30+M31+M32</f>
        <v>316030</v>
      </c>
      <c r="N29" s="20"/>
      <c r="O29" s="20">
        <f>+O30+O31+O32</f>
        <v>0</v>
      </c>
      <c r="P29" s="21">
        <f>+P30+P31+P32</f>
        <v>316030</v>
      </c>
      <c r="Q29" s="18"/>
    </row>
    <row r="30" spans="1:17" ht="12.75" customHeight="1">
      <c r="A30" s="22" t="s">
        <v>16</v>
      </c>
      <c r="B30" s="29">
        <v>1120807</v>
      </c>
      <c r="C30" s="29">
        <v>818628</v>
      </c>
      <c r="D30" s="29"/>
      <c r="E30" s="30"/>
      <c r="F30" s="24">
        <f>SUM(B30:E30)</f>
        <v>1939435</v>
      </c>
      <c r="G30" s="29">
        <v>1120807</v>
      </c>
      <c r="H30" s="29">
        <f>818628-316030</f>
        <v>502598</v>
      </c>
      <c r="I30" s="29"/>
      <c r="J30" s="29"/>
      <c r="K30" s="24">
        <f>SUM(G30:J30)</f>
        <v>1623405</v>
      </c>
      <c r="L30" s="25">
        <f t="shared" ref="L30:M32" si="16">+B30-G30</f>
        <v>0</v>
      </c>
      <c r="M30" s="25">
        <f t="shared" si="16"/>
        <v>316030</v>
      </c>
      <c r="N30" s="25"/>
      <c r="O30" s="25">
        <f>+E30-J30</f>
        <v>0</v>
      </c>
      <c r="P30" s="26">
        <f>SUM(L30:O30)</f>
        <v>316030</v>
      </c>
      <c r="Q30" s="18"/>
    </row>
    <row r="31" spans="1:17" ht="12.75" customHeight="1">
      <c r="A31" s="22" t="s">
        <v>17</v>
      </c>
      <c r="B31" s="29">
        <v>192849</v>
      </c>
      <c r="C31" s="34"/>
      <c r="D31" s="34"/>
      <c r="E31" s="30"/>
      <c r="F31" s="24">
        <f>SUM(B31:E31)</f>
        <v>192849</v>
      </c>
      <c r="G31" s="29">
        <v>192849</v>
      </c>
      <c r="H31" s="34"/>
      <c r="I31" s="34"/>
      <c r="J31" s="34"/>
      <c r="K31" s="24">
        <f>SUM(G31:J31)</f>
        <v>192849</v>
      </c>
      <c r="L31" s="25">
        <f t="shared" si="16"/>
        <v>0</v>
      </c>
      <c r="M31" s="25">
        <f t="shared" si="16"/>
        <v>0</v>
      </c>
      <c r="N31" s="25"/>
      <c r="O31" s="25">
        <f>+E31-J31</f>
        <v>0</v>
      </c>
      <c r="P31" s="26">
        <f>SUM(L31:O31)</f>
        <v>0</v>
      </c>
      <c r="Q31" s="18"/>
    </row>
    <row r="32" spans="1:17" ht="12.75" customHeight="1">
      <c r="A32" s="22" t="s">
        <v>18</v>
      </c>
      <c r="B32" s="29">
        <v>104133</v>
      </c>
      <c r="C32" s="29">
        <v>278548</v>
      </c>
      <c r="D32" s="29"/>
      <c r="E32" s="30"/>
      <c r="F32" s="24">
        <f>SUM(B32:E32)</f>
        <v>382681</v>
      </c>
      <c r="G32" s="29">
        <v>104133</v>
      </c>
      <c r="H32" s="29">
        <v>278548</v>
      </c>
      <c r="I32" s="29"/>
      <c r="J32" s="34"/>
      <c r="K32" s="24">
        <f>SUM(G32:J32)</f>
        <v>382681</v>
      </c>
      <c r="L32" s="25">
        <f t="shared" si="16"/>
        <v>0</v>
      </c>
      <c r="M32" s="25">
        <f t="shared" si="16"/>
        <v>0</v>
      </c>
      <c r="N32" s="25"/>
      <c r="O32" s="25">
        <f>+E32-J32</f>
        <v>0</v>
      </c>
      <c r="P32" s="26">
        <f>SUM(L32:O32)</f>
        <v>0</v>
      </c>
      <c r="Q32" s="18"/>
    </row>
    <row r="33" spans="1:17" ht="12.75" customHeight="1">
      <c r="A33" s="22" t="s">
        <v>19</v>
      </c>
      <c r="B33" s="27">
        <f t="shared" ref="B33:K33" si="17">+B34+B35</f>
        <v>0</v>
      </c>
      <c r="C33" s="27">
        <f t="shared" si="17"/>
        <v>374186</v>
      </c>
      <c r="D33" s="27">
        <f t="shared" si="17"/>
        <v>0</v>
      </c>
      <c r="E33" s="27">
        <f t="shared" si="17"/>
        <v>0</v>
      </c>
      <c r="F33" s="27">
        <f t="shared" si="17"/>
        <v>374186</v>
      </c>
      <c r="G33" s="27">
        <f t="shared" si="17"/>
        <v>0</v>
      </c>
      <c r="H33" s="27">
        <f t="shared" si="17"/>
        <v>7295</v>
      </c>
      <c r="I33" s="27"/>
      <c r="J33" s="27">
        <f t="shared" si="17"/>
        <v>0</v>
      </c>
      <c r="K33" s="27">
        <f t="shared" si="17"/>
        <v>7295</v>
      </c>
      <c r="L33" s="27">
        <f t="shared" ref="L33:P33" si="18">+L34+L35</f>
        <v>0</v>
      </c>
      <c r="M33" s="27">
        <f t="shared" si="18"/>
        <v>366891</v>
      </c>
      <c r="N33" s="27"/>
      <c r="O33" s="27">
        <f t="shared" si="18"/>
        <v>0</v>
      </c>
      <c r="P33" s="28">
        <f t="shared" si="18"/>
        <v>366891</v>
      </c>
      <c r="Q33" s="18"/>
    </row>
    <row r="34" spans="1:17" ht="12.75" customHeight="1">
      <c r="A34" s="23" t="s">
        <v>20</v>
      </c>
      <c r="B34" s="29"/>
      <c r="C34" s="29">
        <v>374186</v>
      </c>
      <c r="D34" s="29"/>
      <c r="E34" s="30"/>
      <c r="F34" s="24">
        <f>SUM(B34:E34)</f>
        <v>374186</v>
      </c>
      <c r="G34" s="29"/>
      <c r="H34" s="29">
        <v>7295</v>
      </c>
      <c r="I34" s="29"/>
      <c r="J34" s="29"/>
      <c r="K34" s="24">
        <f>SUM(G34:J34)</f>
        <v>7295</v>
      </c>
      <c r="L34" s="25">
        <f>+B34-G34</f>
        <v>0</v>
      </c>
      <c r="M34" s="25">
        <f>+C34-H34</f>
        <v>366891</v>
      </c>
      <c r="N34" s="25"/>
      <c r="O34" s="25">
        <f>+E34-J34</f>
        <v>0</v>
      </c>
      <c r="P34" s="26">
        <f>SUM(L34:O34)</f>
        <v>366891</v>
      </c>
      <c r="Q34" s="18"/>
    </row>
    <row r="35" spans="1:17" ht="12.75" customHeight="1">
      <c r="A35" s="23" t="s">
        <v>21</v>
      </c>
      <c r="B35" s="29"/>
      <c r="C35" s="29"/>
      <c r="D35" s="29"/>
      <c r="E35" s="30"/>
      <c r="F35" s="24">
        <f>SUM(B35:E35)</f>
        <v>0</v>
      </c>
      <c r="G35" s="31"/>
      <c r="H35" s="31"/>
      <c r="I35" s="31"/>
      <c r="J35" s="31"/>
      <c r="K35" s="32">
        <f>SUM(G35:J35)</f>
        <v>0</v>
      </c>
      <c r="L35" s="25">
        <f>+B35-G35</f>
        <v>0</v>
      </c>
      <c r="M35" s="25">
        <f>+C35-H35</f>
        <v>0</v>
      </c>
      <c r="N35" s="25"/>
      <c r="O35" s="25">
        <f>+E35-J35</f>
        <v>0</v>
      </c>
      <c r="P35" s="26">
        <f>SUM(L35:O35)</f>
        <v>0</v>
      </c>
      <c r="Q35" s="18"/>
    </row>
    <row r="36" spans="1:17" ht="12.75" customHeight="1">
      <c r="A36" s="33"/>
      <c r="B36" s="25"/>
      <c r="C36" s="25"/>
      <c r="D36" s="25"/>
      <c r="E36" s="43"/>
      <c r="F36" s="24"/>
      <c r="G36" s="25"/>
      <c r="H36" s="25"/>
      <c r="I36" s="25"/>
      <c r="J36" s="25"/>
      <c r="K36" s="24"/>
      <c r="L36" s="25"/>
      <c r="M36" s="25"/>
      <c r="N36" s="25"/>
      <c r="O36" s="25"/>
      <c r="P36" s="26"/>
      <c r="Q36" s="18"/>
    </row>
    <row r="37" spans="1:17" ht="12.75" customHeight="1">
      <c r="A37" s="33" t="s">
        <v>61</v>
      </c>
      <c r="B37" s="17">
        <f t="shared" ref="B37:K37" si="19">+B38+B42</f>
        <v>4511729</v>
      </c>
      <c r="C37" s="17">
        <f t="shared" si="19"/>
        <v>3946677</v>
      </c>
      <c r="D37" s="17">
        <f t="shared" si="19"/>
        <v>185443</v>
      </c>
      <c r="E37" s="17">
        <f t="shared" si="19"/>
        <v>228984</v>
      </c>
      <c r="F37" s="17">
        <f t="shared" si="19"/>
        <v>8872833</v>
      </c>
      <c r="G37" s="17">
        <f t="shared" si="19"/>
        <v>4247481</v>
      </c>
      <c r="H37" s="17">
        <f t="shared" si="19"/>
        <v>1996513</v>
      </c>
      <c r="I37" s="17">
        <f t="shared" si="19"/>
        <v>163823</v>
      </c>
      <c r="J37" s="17">
        <f t="shared" si="19"/>
        <v>59435</v>
      </c>
      <c r="K37" s="17">
        <f t="shared" si="19"/>
        <v>6467252</v>
      </c>
      <c r="L37" s="17">
        <f>+L38+L42</f>
        <v>264248</v>
      </c>
      <c r="M37" s="17">
        <f>+M38+M42</f>
        <v>1950164</v>
      </c>
      <c r="N37" s="17">
        <f>+N38+N42</f>
        <v>21620</v>
      </c>
      <c r="O37" s="17">
        <f>+O38+O42</f>
        <v>169549</v>
      </c>
      <c r="P37" s="17">
        <f>+P38+P42</f>
        <v>2405581</v>
      </c>
      <c r="Q37" s="18">
        <f>+K37/F37</f>
        <v>0.72888242120639479</v>
      </c>
    </row>
    <row r="38" spans="1:17" ht="12.75" customHeight="1">
      <c r="A38" s="41" t="s">
        <v>15</v>
      </c>
      <c r="B38" s="20">
        <f t="shared" ref="B38:K38" si="20">+B39+B40+B41</f>
        <v>4511729</v>
      </c>
      <c r="C38" s="20">
        <f t="shared" si="20"/>
        <v>3096670</v>
      </c>
      <c r="D38" s="20">
        <f t="shared" si="20"/>
        <v>185443</v>
      </c>
      <c r="E38" s="20">
        <f t="shared" si="20"/>
        <v>120755</v>
      </c>
      <c r="F38" s="20">
        <f t="shared" si="20"/>
        <v>7914597</v>
      </c>
      <c r="G38" s="20">
        <f t="shared" si="20"/>
        <v>4247481</v>
      </c>
      <c r="H38" s="20">
        <f t="shared" si="20"/>
        <v>1834831</v>
      </c>
      <c r="I38" s="20">
        <f t="shared" si="20"/>
        <v>163823</v>
      </c>
      <c r="J38" s="20">
        <f t="shared" si="20"/>
        <v>59435</v>
      </c>
      <c r="K38" s="20">
        <f t="shared" si="20"/>
        <v>6305570</v>
      </c>
      <c r="L38" s="20">
        <f t="shared" ref="L38:P38" si="21">+L39+L40+L41</f>
        <v>264248</v>
      </c>
      <c r="M38" s="20">
        <f t="shared" si="21"/>
        <v>1261839</v>
      </c>
      <c r="N38" s="20">
        <f t="shared" si="21"/>
        <v>21620</v>
      </c>
      <c r="O38" s="20">
        <f t="shared" si="21"/>
        <v>61320</v>
      </c>
      <c r="P38" s="21">
        <f t="shared" si="21"/>
        <v>1609027</v>
      </c>
      <c r="Q38" s="18"/>
    </row>
    <row r="39" spans="1:17" ht="12.75" customHeight="1">
      <c r="A39" s="22" t="s">
        <v>16</v>
      </c>
      <c r="B39" s="29">
        <v>3476868</v>
      </c>
      <c r="C39" s="29">
        <f>3096670</f>
        <v>3096670</v>
      </c>
      <c r="D39" s="29">
        <v>185443</v>
      </c>
      <c r="E39" s="30">
        <v>120755</v>
      </c>
      <c r="F39" s="24">
        <f>SUM(B39:E39)</f>
        <v>6879736</v>
      </c>
      <c r="G39" s="29">
        <v>3261829</v>
      </c>
      <c r="H39" s="29">
        <v>1834831</v>
      </c>
      <c r="I39" s="29">
        <v>163823</v>
      </c>
      <c r="J39" s="29">
        <v>59435</v>
      </c>
      <c r="K39" s="24">
        <f>SUM(G39:J39)</f>
        <v>5319918</v>
      </c>
      <c r="L39" s="25">
        <f t="shared" ref="L39:N41" si="22">+B39-G39</f>
        <v>215039</v>
      </c>
      <c r="M39" s="25">
        <f t="shared" si="22"/>
        <v>1261839</v>
      </c>
      <c r="N39" s="25">
        <f t="shared" si="22"/>
        <v>21620</v>
      </c>
      <c r="O39" s="25">
        <f>+E39-J39</f>
        <v>61320</v>
      </c>
      <c r="P39" s="26">
        <f>SUM(L39:O39)</f>
        <v>1559818</v>
      </c>
      <c r="Q39" s="18"/>
    </row>
    <row r="40" spans="1:17" ht="12.75" customHeight="1">
      <c r="A40" s="22" t="s">
        <v>17</v>
      </c>
      <c r="B40" s="29">
        <v>701039</v>
      </c>
      <c r="C40" s="34"/>
      <c r="D40" s="34"/>
      <c r="E40" s="30"/>
      <c r="F40" s="24">
        <f>SUM(B40:E40)</f>
        <v>701039</v>
      </c>
      <c r="G40" s="29">
        <v>686240</v>
      </c>
      <c r="H40" s="34"/>
      <c r="I40" s="34"/>
      <c r="J40" s="34"/>
      <c r="K40" s="24">
        <f>SUM(G40:J40)</f>
        <v>686240</v>
      </c>
      <c r="L40" s="25">
        <f t="shared" si="22"/>
        <v>14799</v>
      </c>
      <c r="M40" s="25">
        <f t="shared" si="22"/>
        <v>0</v>
      </c>
      <c r="N40" s="25"/>
      <c r="O40" s="25">
        <f>+E40-J40</f>
        <v>0</v>
      </c>
      <c r="P40" s="26">
        <f>SUM(L40:O40)</f>
        <v>14799</v>
      </c>
      <c r="Q40" s="18"/>
    </row>
    <row r="41" spans="1:17" ht="12.75" customHeight="1">
      <c r="A41" s="22" t="s">
        <v>18</v>
      </c>
      <c r="B41" s="29">
        <v>333822</v>
      </c>
      <c r="C41" s="29"/>
      <c r="D41" s="29"/>
      <c r="E41" s="30"/>
      <c r="F41" s="24">
        <f>SUM(B41:E41)</f>
        <v>333822</v>
      </c>
      <c r="G41" s="29">
        <v>299412</v>
      </c>
      <c r="H41" s="29"/>
      <c r="I41" s="29"/>
      <c r="J41" s="34"/>
      <c r="K41" s="24">
        <f>SUM(G41:J41)</f>
        <v>299412</v>
      </c>
      <c r="L41" s="25">
        <f t="shared" si="22"/>
        <v>34410</v>
      </c>
      <c r="M41" s="25">
        <f t="shared" si="22"/>
        <v>0</v>
      </c>
      <c r="N41" s="25"/>
      <c r="O41" s="25">
        <f>+E41-J41</f>
        <v>0</v>
      </c>
      <c r="P41" s="26">
        <f>SUM(L41:O41)</f>
        <v>34410</v>
      </c>
      <c r="Q41" s="18"/>
    </row>
    <row r="42" spans="1:17" ht="12.75" customHeight="1">
      <c r="A42" s="22" t="s">
        <v>19</v>
      </c>
      <c r="B42" s="27">
        <f t="shared" ref="B42:K42" si="23">+B43+B44</f>
        <v>0</v>
      </c>
      <c r="C42" s="27">
        <f t="shared" si="23"/>
        <v>850007</v>
      </c>
      <c r="D42" s="27">
        <f t="shared" si="23"/>
        <v>0</v>
      </c>
      <c r="E42" s="27">
        <f t="shared" si="23"/>
        <v>108229</v>
      </c>
      <c r="F42" s="27">
        <f t="shared" si="23"/>
        <v>958236</v>
      </c>
      <c r="G42" s="27">
        <f t="shared" si="23"/>
        <v>0</v>
      </c>
      <c r="H42" s="27">
        <f t="shared" si="23"/>
        <v>161682</v>
      </c>
      <c r="I42" s="27">
        <f t="shared" si="23"/>
        <v>0</v>
      </c>
      <c r="J42" s="27">
        <f t="shared" si="23"/>
        <v>0</v>
      </c>
      <c r="K42" s="27">
        <f t="shared" si="23"/>
        <v>161682</v>
      </c>
      <c r="L42" s="27">
        <f t="shared" ref="L42:P42" si="24">+L43+L44</f>
        <v>0</v>
      </c>
      <c r="M42" s="27">
        <f t="shared" si="24"/>
        <v>688325</v>
      </c>
      <c r="N42" s="27">
        <f t="shared" si="24"/>
        <v>0</v>
      </c>
      <c r="O42" s="27">
        <f t="shared" si="24"/>
        <v>108229</v>
      </c>
      <c r="P42" s="28">
        <f t="shared" si="24"/>
        <v>796554</v>
      </c>
      <c r="Q42" s="18"/>
    </row>
    <row r="43" spans="1:17" ht="12.75" customHeight="1">
      <c r="A43" s="23" t="s">
        <v>20</v>
      </c>
      <c r="B43" s="29"/>
      <c r="C43" s="29">
        <v>850007</v>
      </c>
      <c r="D43" s="29"/>
      <c r="E43" s="30">
        <v>108229</v>
      </c>
      <c r="F43" s="24">
        <f>SUM(B43:E43)</f>
        <v>958236</v>
      </c>
      <c r="G43" s="29"/>
      <c r="H43" s="29">
        <v>161682</v>
      </c>
      <c r="I43" s="29"/>
      <c r="J43" s="29"/>
      <c r="K43" s="24">
        <f>SUM(G43:J43)</f>
        <v>161682</v>
      </c>
      <c r="L43" s="25">
        <f>+B43-G43</f>
        <v>0</v>
      </c>
      <c r="M43" s="25">
        <f>+C43-H43</f>
        <v>688325</v>
      </c>
      <c r="N43" s="25"/>
      <c r="O43" s="25">
        <f>+E43-J43</f>
        <v>108229</v>
      </c>
      <c r="P43" s="26">
        <f>SUM(L43:O43)</f>
        <v>796554</v>
      </c>
      <c r="Q43" s="18"/>
    </row>
    <row r="44" spans="1:17" ht="12.75" customHeight="1">
      <c r="A44" s="23" t="s">
        <v>21</v>
      </c>
      <c r="B44" s="29"/>
      <c r="C44" s="29"/>
      <c r="D44" s="29"/>
      <c r="E44" s="30"/>
      <c r="F44" s="24">
        <f>SUM(B44:E44)</f>
        <v>0</v>
      </c>
      <c r="G44" s="29"/>
      <c r="H44" s="29"/>
      <c r="I44" s="29"/>
      <c r="J44" s="29"/>
      <c r="K44" s="24">
        <f>SUM(G44:J44)</f>
        <v>0</v>
      </c>
      <c r="L44" s="25">
        <f>+B44-G44</f>
        <v>0</v>
      </c>
      <c r="M44" s="25">
        <f>+C44-H44</f>
        <v>0</v>
      </c>
      <c r="N44" s="25"/>
      <c r="O44" s="25">
        <f>+E44-J44</f>
        <v>0</v>
      </c>
      <c r="P44" s="26">
        <f>SUM(L44:O44)</f>
        <v>0</v>
      </c>
      <c r="Q44" s="18"/>
    </row>
    <row r="45" spans="1:17" ht="12.75" customHeight="1">
      <c r="A45" s="33"/>
      <c r="B45" s="25"/>
      <c r="C45" s="25"/>
      <c r="D45" s="25"/>
      <c r="E45" s="43"/>
      <c r="F45" s="24"/>
      <c r="G45" s="47"/>
      <c r="H45" s="47"/>
      <c r="I45" s="47"/>
      <c r="J45" s="47"/>
      <c r="K45" s="32"/>
      <c r="L45" s="25"/>
      <c r="M45" s="25"/>
      <c r="N45" s="25"/>
      <c r="O45" s="25"/>
      <c r="P45" s="26"/>
      <c r="Q45" s="18"/>
    </row>
    <row r="46" spans="1:17" ht="12.75" customHeight="1">
      <c r="A46" s="215" t="s">
        <v>62</v>
      </c>
      <c r="B46" s="17">
        <f t="shared" ref="B46:K46" si="25">+B47+B51</f>
        <v>195994</v>
      </c>
      <c r="C46" s="17">
        <f t="shared" si="25"/>
        <v>61879</v>
      </c>
      <c r="D46" s="17">
        <f t="shared" si="25"/>
        <v>0</v>
      </c>
      <c r="E46" s="17">
        <f t="shared" si="25"/>
        <v>5000</v>
      </c>
      <c r="F46" s="17">
        <f t="shared" si="25"/>
        <v>262873</v>
      </c>
      <c r="G46" s="17">
        <f t="shared" si="25"/>
        <v>192783</v>
      </c>
      <c r="H46" s="17">
        <f t="shared" si="25"/>
        <v>61049</v>
      </c>
      <c r="I46" s="17">
        <f t="shared" si="25"/>
        <v>0</v>
      </c>
      <c r="J46" s="17">
        <f t="shared" si="25"/>
        <v>0</v>
      </c>
      <c r="K46" s="17">
        <f t="shared" si="25"/>
        <v>253832</v>
      </c>
      <c r="L46" s="17">
        <f>+L47+L51</f>
        <v>3211</v>
      </c>
      <c r="M46" s="17">
        <f>+M47+M51</f>
        <v>830</v>
      </c>
      <c r="N46" s="17"/>
      <c r="O46" s="17">
        <f>+O47+O51</f>
        <v>5000</v>
      </c>
      <c r="P46" s="17">
        <f>+P47+P51</f>
        <v>9041</v>
      </c>
      <c r="Q46" s="18">
        <f>+K46/F46</f>
        <v>0.96560696610150154</v>
      </c>
    </row>
    <row r="47" spans="1:17" ht="12.75" customHeight="1">
      <c r="A47" s="41" t="s">
        <v>15</v>
      </c>
      <c r="B47" s="20">
        <f t="shared" ref="B47:K47" si="26">+B48+B49+B50</f>
        <v>195994</v>
      </c>
      <c r="C47" s="20">
        <f t="shared" si="26"/>
        <v>61735</v>
      </c>
      <c r="D47" s="20">
        <f t="shared" si="26"/>
        <v>0</v>
      </c>
      <c r="E47" s="20">
        <f t="shared" si="26"/>
        <v>5000</v>
      </c>
      <c r="F47" s="20">
        <f t="shared" si="26"/>
        <v>262729</v>
      </c>
      <c r="G47" s="20">
        <f t="shared" si="26"/>
        <v>192783</v>
      </c>
      <c r="H47" s="20">
        <f t="shared" si="26"/>
        <v>61049</v>
      </c>
      <c r="I47" s="20">
        <f t="shared" si="26"/>
        <v>0</v>
      </c>
      <c r="J47" s="20">
        <f t="shared" si="26"/>
        <v>0</v>
      </c>
      <c r="K47" s="20">
        <f t="shared" si="26"/>
        <v>253832</v>
      </c>
      <c r="L47" s="20">
        <f>+L48+L49+L50</f>
        <v>3211</v>
      </c>
      <c r="M47" s="20">
        <f>+M48+M49+M50</f>
        <v>686</v>
      </c>
      <c r="N47" s="20"/>
      <c r="O47" s="20">
        <f>+O48+O49+O50</f>
        <v>5000</v>
      </c>
      <c r="P47" s="21">
        <f>+P48+P49+P50</f>
        <v>8897</v>
      </c>
      <c r="Q47" s="18"/>
    </row>
    <row r="48" spans="1:17" ht="12.75" customHeight="1">
      <c r="A48" s="22" t="s">
        <v>16</v>
      </c>
      <c r="B48" s="29">
        <v>122094</v>
      </c>
      <c r="C48" s="29">
        <v>61735</v>
      </c>
      <c r="D48" s="29"/>
      <c r="E48" s="30">
        <v>5000</v>
      </c>
      <c r="F48" s="24">
        <f>SUM(B48:E48)</f>
        <v>188829</v>
      </c>
      <c r="G48" s="29">
        <v>121356</v>
      </c>
      <c r="H48" s="29">
        <v>61049</v>
      </c>
      <c r="I48" s="29"/>
      <c r="J48" s="29"/>
      <c r="K48" s="24">
        <f>SUM(G48:J48)</f>
        <v>182405</v>
      </c>
      <c r="L48" s="25">
        <f t="shared" ref="L48:M50" si="27">+B48-G48</f>
        <v>738</v>
      </c>
      <c r="M48" s="25">
        <f t="shared" si="27"/>
        <v>686</v>
      </c>
      <c r="N48" s="25"/>
      <c r="O48" s="25">
        <f>+E48-J48</f>
        <v>5000</v>
      </c>
      <c r="P48" s="26">
        <f>SUM(L48:O48)</f>
        <v>6424</v>
      </c>
      <c r="Q48" s="18"/>
    </row>
    <row r="49" spans="1:18" ht="12.75" customHeight="1">
      <c r="A49" s="22" t="s">
        <v>17</v>
      </c>
      <c r="B49" s="29">
        <v>62106</v>
      </c>
      <c r="C49" s="34"/>
      <c r="D49" s="34"/>
      <c r="E49" s="30"/>
      <c r="F49" s="24">
        <f>SUM(B49:E49)</f>
        <v>62106</v>
      </c>
      <c r="G49" s="29">
        <v>62106</v>
      </c>
      <c r="H49" s="34"/>
      <c r="I49" s="34"/>
      <c r="J49" s="34"/>
      <c r="K49" s="24">
        <f>SUM(G49:J49)</f>
        <v>62106</v>
      </c>
      <c r="L49" s="25">
        <f t="shared" si="27"/>
        <v>0</v>
      </c>
      <c r="M49" s="25">
        <f t="shared" si="27"/>
        <v>0</v>
      </c>
      <c r="N49" s="25"/>
      <c r="O49" s="25">
        <f>+E49-J49</f>
        <v>0</v>
      </c>
      <c r="P49" s="26">
        <f>SUM(L49:O49)</f>
        <v>0</v>
      </c>
      <c r="Q49" s="18"/>
    </row>
    <row r="50" spans="1:18" ht="12.75" customHeight="1">
      <c r="A50" s="22" t="s">
        <v>18</v>
      </c>
      <c r="B50" s="29">
        <v>11794</v>
      </c>
      <c r="C50" s="34"/>
      <c r="D50" s="34"/>
      <c r="E50" s="35"/>
      <c r="F50" s="24">
        <f>SUM(B50:E50)</f>
        <v>11794</v>
      </c>
      <c r="G50" s="29">
        <v>9321</v>
      </c>
      <c r="H50" s="34"/>
      <c r="I50" s="34"/>
      <c r="J50" s="34"/>
      <c r="K50" s="24">
        <f>SUM(G50:J50)</f>
        <v>9321</v>
      </c>
      <c r="L50" s="25">
        <f t="shared" si="27"/>
        <v>2473</v>
      </c>
      <c r="M50" s="25">
        <f t="shared" si="27"/>
        <v>0</v>
      </c>
      <c r="N50" s="25"/>
      <c r="O50" s="25">
        <f>+E50-J50</f>
        <v>0</v>
      </c>
      <c r="P50" s="26">
        <f>SUM(L50:O50)</f>
        <v>2473</v>
      </c>
      <c r="Q50" s="18"/>
    </row>
    <row r="51" spans="1:18" ht="12.75" customHeight="1">
      <c r="A51" s="22" t="s">
        <v>19</v>
      </c>
      <c r="B51" s="27">
        <f t="shared" ref="B51:K51" si="28">+B52+B53</f>
        <v>0</v>
      </c>
      <c r="C51" s="27">
        <f t="shared" si="28"/>
        <v>144</v>
      </c>
      <c r="D51" s="27">
        <f t="shared" si="28"/>
        <v>0</v>
      </c>
      <c r="E51" s="27">
        <f t="shared" si="28"/>
        <v>0</v>
      </c>
      <c r="F51" s="27">
        <f t="shared" si="28"/>
        <v>144</v>
      </c>
      <c r="G51" s="27">
        <f t="shared" si="28"/>
        <v>0</v>
      </c>
      <c r="H51" s="27">
        <f t="shared" si="28"/>
        <v>0</v>
      </c>
      <c r="I51" s="27">
        <f t="shared" si="28"/>
        <v>0</v>
      </c>
      <c r="J51" s="27">
        <f t="shared" si="28"/>
        <v>0</v>
      </c>
      <c r="K51" s="27">
        <f t="shared" si="28"/>
        <v>0</v>
      </c>
      <c r="L51" s="27">
        <f t="shared" ref="L51:P51" si="29">+L52+L53</f>
        <v>0</v>
      </c>
      <c r="M51" s="27">
        <f t="shared" si="29"/>
        <v>144</v>
      </c>
      <c r="N51" s="27"/>
      <c r="O51" s="27">
        <f t="shared" si="29"/>
        <v>0</v>
      </c>
      <c r="P51" s="28">
        <f t="shared" si="29"/>
        <v>144</v>
      </c>
      <c r="Q51" s="18"/>
    </row>
    <row r="52" spans="1:18" ht="12.75" customHeight="1">
      <c r="A52" s="23" t="s">
        <v>20</v>
      </c>
      <c r="B52" s="29"/>
      <c r="C52" s="29">
        <v>144</v>
      </c>
      <c r="D52" s="29"/>
      <c r="E52" s="30"/>
      <c r="F52" s="24">
        <f>SUM(B52:E52)</f>
        <v>144</v>
      </c>
      <c r="G52" s="29"/>
      <c r="H52" s="29"/>
      <c r="I52" s="29"/>
      <c r="J52" s="29"/>
      <c r="K52" s="24">
        <f>SUM(G52:J52)</f>
        <v>0</v>
      </c>
      <c r="L52" s="25">
        <f>+B52-G52</f>
        <v>0</v>
      </c>
      <c r="M52" s="25">
        <f>+C52-H52</f>
        <v>144</v>
      </c>
      <c r="N52" s="25"/>
      <c r="O52" s="25">
        <f>+E52-J52</f>
        <v>0</v>
      </c>
      <c r="P52" s="26">
        <f>SUM(L52:O52)</f>
        <v>144</v>
      </c>
      <c r="Q52" s="18"/>
    </row>
    <row r="53" spans="1:18" ht="12.75" customHeight="1">
      <c r="A53" s="23" t="s">
        <v>21</v>
      </c>
      <c r="B53" s="29"/>
      <c r="C53" s="29"/>
      <c r="D53" s="29"/>
      <c r="E53" s="30"/>
      <c r="F53" s="24">
        <f>SUM(B53:E53)</f>
        <v>0</v>
      </c>
      <c r="G53" s="29"/>
      <c r="H53" s="29"/>
      <c r="I53" s="29"/>
      <c r="J53" s="29"/>
      <c r="K53" s="24">
        <f>SUM(G53:J53)</f>
        <v>0</v>
      </c>
      <c r="L53" s="25">
        <f>+B53-G53</f>
        <v>0</v>
      </c>
      <c r="M53" s="25">
        <f>+C53-H53</f>
        <v>0</v>
      </c>
      <c r="N53" s="25"/>
      <c r="O53" s="25">
        <f>+E53-J53</f>
        <v>0</v>
      </c>
      <c r="P53" s="26">
        <f>SUM(L53:O53)</f>
        <v>0</v>
      </c>
      <c r="Q53" s="18"/>
    </row>
    <row r="54" spans="1:18" ht="12.75" customHeight="1">
      <c r="A54" s="217"/>
      <c r="B54" s="44"/>
      <c r="C54" s="44"/>
      <c r="D54" s="44"/>
      <c r="E54" s="45"/>
      <c r="F54" s="77"/>
      <c r="G54" s="84"/>
      <c r="H54" s="84"/>
      <c r="I54" s="84"/>
      <c r="J54" s="84"/>
      <c r="K54" s="82"/>
      <c r="L54" s="44"/>
      <c r="M54" s="44"/>
      <c r="N54" s="44"/>
      <c r="O54" s="44"/>
      <c r="P54" s="75"/>
      <c r="Q54" s="76"/>
    </row>
    <row r="55" spans="1:18" ht="12.75" customHeight="1">
      <c r="A55" s="33" t="s">
        <v>63</v>
      </c>
      <c r="B55" s="17">
        <f t="shared" ref="B55:K55" si="30">+B56+B60</f>
        <v>426946</v>
      </c>
      <c r="C55" s="17">
        <f t="shared" si="30"/>
        <v>3892951</v>
      </c>
      <c r="D55" s="17">
        <f t="shared" si="30"/>
        <v>501000</v>
      </c>
      <c r="E55" s="17">
        <f t="shared" si="30"/>
        <v>3127185</v>
      </c>
      <c r="F55" s="17">
        <f t="shared" si="30"/>
        <v>7948082</v>
      </c>
      <c r="G55" s="17">
        <f t="shared" si="30"/>
        <v>405964</v>
      </c>
      <c r="H55" s="17">
        <f t="shared" si="30"/>
        <v>3865841</v>
      </c>
      <c r="I55" s="17">
        <f t="shared" si="30"/>
        <v>501000</v>
      </c>
      <c r="J55" s="17">
        <f t="shared" si="30"/>
        <v>1150910</v>
      </c>
      <c r="K55" s="17">
        <f t="shared" si="30"/>
        <v>5923715</v>
      </c>
      <c r="L55" s="17">
        <f>+L56+L60</f>
        <v>20982</v>
      </c>
      <c r="M55" s="17">
        <f>+M56+M60</f>
        <v>27110</v>
      </c>
      <c r="N55" s="17">
        <f>+N56+N60</f>
        <v>0</v>
      </c>
      <c r="O55" s="17">
        <f>+O56+O60</f>
        <v>1976275</v>
      </c>
      <c r="P55" s="17">
        <f>+P56+P60</f>
        <v>2024367</v>
      </c>
      <c r="Q55" s="18">
        <f>+K55/F55</f>
        <v>0.74530119341999745</v>
      </c>
      <c r="R55" s="52"/>
    </row>
    <row r="56" spans="1:18" ht="12.75" customHeight="1">
      <c r="A56" s="41" t="s">
        <v>15</v>
      </c>
      <c r="B56" s="20">
        <f t="shared" ref="B56:K56" si="31">+B57+B58+B59</f>
        <v>426946</v>
      </c>
      <c r="C56" s="20">
        <f t="shared" si="31"/>
        <v>3874832</v>
      </c>
      <c r="D56" s="20">
        <f t="shared" si="31"/>
        <v>501000</v>
      </c>
      <c r="E56" s="20">
        <f t="shared" si="31"/>
        <v>3127185</v>
      </c>
      <c r="F56" s="20">
        <f t="shared" si="31"/>
        <v>7929963</v>
      </c>
      <c r="G56" s="20">
        <f t="shared" si="31"/>
        <v>405964</v>
      </c>
      <c r="H56" s="20">
        <f t="shared" si="31"/>
        <v>3849897</v>
      </c>
      <c r="I56" s="20">
        <f t="shared" si="31"/>
        <v>501000</v>
      </c>
      <c r="J56" s="20">
        <f t="shared" si="31"/>
        <v>1150910</v>
      </c>
      <c r="K56" s="20">
        <f t="shared" si="31"/>
        <v>5907771</v>
      </c>
      <c r="L56" s="20">
        <f t="shared" ref="L56:P56" si="32">+L57+L58+L59</f>
        <v>20982</v>
      </c>
      <c r="M56" s="20">
        <f t="shared" si="32"/>
        <v>24935</v>
      </c>
      <c r="N56" s="20">
        <f t="shared" si="32"/>
        <v>0</v>
      </c>
      <c r="O56" s="20">
        <f t="shared" si="32"/>
        <v>1976275</v>
      </c>
      <c r="P56" s="21">
        <f t="shared" si="32"/>
        <v>2022192</v>
      </c>
      <c r="Q56" s="18"/>
    </row>
    <row r="57" spans="1:18" ht="12.75" customHeight="1">
      <c r="A57" s="22" t="s">
        <v>16</v>
      </c>
      <c r="B57" s="29">
        <v>337800</v>
      </c>
      <c r="C57" s="24">
        <f>210202</f>
        <v>210202</v>
      </c>
      <c r="D57" s="24">
        <v>501000</v>
      </c>
      <c r="E57" s="30"/>
      <c r="F57" s="24">
        <f>SUM(B57:E57)</f>
        <v>1049002</v>
      </c>
      <c r="G57" s="29">
        <v>319639</v>
      </c>
      <c r="H57" s="29">
        <v>194461</v>
      </c>
      <c r="I57" s="29">
        <v>501000</v>
      </c>
      <c r="J57" s="29"/>
      <c r="K57" s="24">
        <f>SUM(G57:J57)</f>
        <v>1015100</v>
      </c>
      <c r="L57" s="25">
        <f t="shared" ref="L57:N59" si="33">+B57-G57</f>
        <v>18161</v>
      </c>
      <c r="M57" s="25">
        <f t="shared" si="33"/>
        <v>15741</v>
      </c>
      <c r="N57" s="25">
        <f t="shared" si="33"/>
        <v>0</v>
      </c>
      <c r="O57" s="25">
        <f>+E57-J57</f>
        <v>0</v>
      </c>
      <c r="P57" s="26">
        <f>SUM(L57:O57)</f>
        <v>33902</v>
      </c>
      <c r="Q57" s="18"/>
    </row>
    <row r="58" spans="1:18" ht="12.75" customHeight="1">
      <c r="A58" s="22" t="s">
        <v>17</v>
      </c>
      <c r="B58" s="29">
        <v>56747</v>
      </c>
      <c r="C58" s="34"/>
      <c r="D58" s="34"/>
      <c r="E58" s="30">
        <v>1077185</v>
      </c>
      <c r="F58" s="24">
        <f>SUM(B58:E58)</f>
        <v>1133932</v>
      </c>
      <c r="G58" s="29">
        <v>56722</v>
      </c>
      <c r="H58" s="34"/>
      <c r="I58" s="34"/>
      <c r="J58" s="29">
        <f>1106440-29255</f>
        <v>1077185</v>
      </c>
      <c r="K58" s="24">
        <f>SUM(G58:J58)</f>
        <v>1133907</v>
      </c>
      <c r="L58" s="25">
        <f t="shared" si="33"/>
        <v>25</v>
      </c>
      <c r="M58" s="25">
        <f t="shared" si="33"/>
        <v>0</v>
      </c>
      <c r="N58" s="25"/>
      <c r="O58" s="25">
        <f>+E58-J58</f>
        <v>0</v>
      </c>
      <c r="P58" s="26">
        <f>SUM(L58:O58)</f>
        <v>25</v>
      </c>
      <c r="Q58" s="18"/>
    </row>
    <row r="59" spans="1:18" ht="12.75" customHeight="1">
      <c r="A59" s="22" t="s">
        <v>18</v>
      </c>
      <c r="B59" s="29">
        <v>32399</v>
      </c>
      <c r="C59" s="29">
        <v>3664630</v>
      </c>
      <c r="D59" s="29"/>
      <c r="E59" s="30">
        <v>2050000</v>
      </c>
      <c r="F59" s="24">
        <f>SUM(B59:E59)</f>
        <v>5747029</v>
      </c>
      <c r="G59" s="29">
        <v>29603</v>
      </c>
      <c r="H59" s="29">
        <f>3652380+3056</f>
        <v>3655436</v>
      </c>
      <c r="I59" s="29"/>
      <c r="J59" s="29">
        <f>44470+29255</f>
        <v>73725</v>
      </c>
      <c r="K59" s="24">
        <f>SUM(G59:J59)</f>
        <v>3758764</v>
      </c>
      <c r="L59" s="25">
        <f t="shared" si="33"/>
        <v>2796</v>
      </c>
      <c r="M59" s="25">
        <f t="shared" si="33"/>
        <v>9194</v>
      </c>
      <c r="N59" s="25"/>
      <c r="O59" s="25">
        <f>+E59-J59</f>
        <v>1976275</v>
      </c>
      <c r="P59" s="26">
        <f>SUM(L59:O59)</f>
        <v>1988265</v>
      </c>
      <c r="Q59" s="18"/>
    </row>
    <row r="60" spans="1:18" ht="12.75" customHeight="1">
      <c r="A60" s="22" t="s">
        <v>19</v>
      </c>
      <c r="B60" s="27">
        <f t="shared" ref="B60:K60" si="34">+B61+B62</f>
        <v>0</v>
      </c>
      <c r="C60" s="27">
        <f t="shared" si="34"/>
        <v>18119</v>
      </c>
      <c r="D60" s="27">
        <f t="shared" si="34"/>
        <v>0</v>
      </c>
      <c r="E60" s="27">
        <f t="shared" si="34"/>
        <v>0</v>
      </c>
      <c r="F60" s="27">
        <f t="shared" si="34"/>
        <v>18119</v>
      </c>
      <c r="G60" s="27">
        <f t="shared" si="34"/>
        <v>0</v>
      </c>
      <c r="H60" s="27">
        <f t="shared" si="34"/>
        <v>15944</v>
      </c>
      <c r="I60" s="27">
        <f t="shared" si="34"/>
        <v>0</v>
      </c>
      <c r="J60" s="27">
        <f t="shared" si="34"/>
        <v>0</v>
      </c>
      <c r="K60" s="27">
        <f t="shared" si="34"/>
        <v>15944</v>
      </c>
      <c r="L60" s="27">
        <f t="shared" ref="L60:P60" si="35">+L61+L62</f>
        <v>0</v>
      </c>
      <c r="M60" s="27">
        <f t="shared" si="35"/>
        <v>2175</v>
      </c>
      <c r="N60" s="27">
        <f t="shared" si="35"/>
        <v>0</v>
      </c>
      <c r="O60" s="27">
        <f t="shared" si="35"/>
        <v>0</v>
      </c>
      <c r="P60" s="28">
        <f t="shared" si="35"/>
        <v>2175</v>
      </c>
      <c r="Q60" s="18"/>
    </row>
    <row r="61" spans="1:18" ht="12.75" customHeight="1">
      <c r="A61" s="23" t="s">
        <v>20</v>
      </c>
      <c r="B61" s="29"/>
      <c r="C61" s="29">
        <v>18119</v>
      </c>
      <c r="D61" s="29"/>
      <c r="E61" s="30"/>
      <c r="F61" s="24">
        <f>SUM(B61:E61)</f>
        <v>18119</v>
      </c>
      <c r="G61" s="29"/>
      <c r="H61" s="29">
        <v>15944</v>
      </c>
      <c r="I61" s="29"/>
      <c r="J61" s="29">
        <v>0</v>
      </c>
      <c r="K61" s="24">
        <f>SUM(G61:J61)</f>
        <v>15944</v>
      </c>
      <c r="L61" s="25">
        <f>+B61-G61</f>
        <v>0</v>
      </c>
      <c r="M61" s="25">
        <f>+C61-H61</f>
        <v>2175</v>
      </c>
      <c r="N61" s="25"/>
      <c r="O61" s="25">
        <f>+E61-J61</f>
        <v>0</v>
      </c>
      <c r="P61" s="26">
        <f>SUM(L61:O61)</f>
        <v>2175</v>
      </c>
      <c r="Q61" s="18"/>
    </row>
    <row r="62" spans="1:18" ht="12.75" customHeight="1">
      <c r="A62" s="23" t="s">
        <v>21</v>
      </c>
      <c r="B62" s="29"/>
      <c r="C62" s="29"/>
      <c r="D62" s="29"/>
      <c r="E62" s="30"/>
      <c r="F62" s="24">
        <f>SUM(B62:E62)</f>
        <v>0</v>
      </c>
      <c r="G62" s="29"/>
      <c r="H62" s="29"/>
      <c r="I62" s="29"/>
      <c r="J62" s="29"/>
      <c r="K62" s="24">
        <f>SUM(G62:J62)</f>
        <v>0</v>
      </c>
      <c r="L62" s="25">
        <f>+B62-G62</f>
        <v>0</v>
      </c>
      <c r="M62" s="25">
        <f>+C62-H62</f>
        <v>0</v>
      </c>
      <c r="N62" s="25"/>
      <c r="O62" s="25">
        <f>+E62-J62</f>
        <v>0</v>
      </c>
      <c r="P62" s="26">
        <f>SUM(L62:O62)</f>
        <v>0</v>
      </c>
      <c r="Q62" s="18"/>
    </row>
    <row r="63" spans="1:18" ht="12.75" customHeight="1">
      <c r="A63" s="57"/>
      <c r="B63" s="25"/>
      <c r="C63" s="25"/>
      <c r="D63" s="25"/>
      <c r="E63" s="43"/>
      <c r="F63" s="24"/>
      <c r="G63" s="25"/>
      <c r="H63" s="25"/>
      <c r="I63" s="25"/>
      <c r="J63" s="25"/>
      <c r="K63" s="24"/>
      <c r="L63" s="44"/>
      <c r="M63" s="44"/>
      <c r="N63" s="44"/>
      <c r="O63" s="44"/>
      <c r="P63" s="75"/>
      <c r="Q63" s="76"/>
    </row>
    <row r="64" spans="1:18" ht="12.75" customHeight="1">
      <c r="A64" s="215" t="s">
        <v>64</v>
      </c>
      <c r="B64" s="17">
        <f t="shared" ref="B64:K64" si="36">+B65+B69</f>
        <v>9701</v>
      </c>
      <c r="C64" s="17">
        <f t="shared" si="36"/>
        <v>1242</v>
      </c>
      <c r="D64" s="17">
        <f t="shared" si="36"/>
        <v>0</v>
      </c>
      <c r="E64" s="17">
        <f t="shared" si="36"/>
        <v>0</v>
      </c>
      <c r="F64" s="17">
        <f t="shared" si="36"/>
        <v>10943</v>
      </c>
      <c r="G64" s="17">
        <f t="shared" si="36"/>
        <v>7757</v>
      </c>
      <c r="H64" s="17">
        <f t="shared" si="36"/>
        <v>1242</v>
      </c>
      <c r="I64" s="17">
        <f t="shared" si="36"/>
        <v>0</v>
      </c>
      <c r="J64" s="17">
        <f t="shared" si="36"/>
        <v>0</v>
      </c>
      <c r="K64" s="17">
        <f t="shared" si="36"/>
        <v>8999</v>
      </c>
      <c r="L64" s="17">
        <f>+L65+L69</f>
        <v>1944</v>
      </c>
      <c r="M64" s="17">
        <f>+M65+M69</f>
        <v>0</v>
      </c>
      <c r="N64" s="17"/>
      <c r="O64" s="17">
        <f>+O65+O69</f>
        <v>0</v>
      </c>
      <c r="P64" s="17">
        <f>+P65+P69</f>
        <v>1944</v>
      </c>
      <c r="Q64" s="18">
        <f>+K64/F64</f>
        <v>0.82235218861372572</v>
      </c>
    </row>
    <row r="65" spans="1:17" ht="12.75" customHeight="1">
      <c r="A65" s="41" t="s">
        <v>15</v>
      </c>
      <c r="B65" s="20">
        <f t="shared" ref="B65:K65" si="37">+B66+B67+B68</f>
        <v>9701</v>
      </c>
      <c r="C65" s="20">
        <f t="shared" si="37"/>
        <v>1242</v>
      </c>
      <c r="D65" s="20">
        <f t="shared" si="37"/>
        <v>0</v>
      </c>
      <c r="E65" s="20">
        <f t="shared" si="37"/>
        <v>0</v>
      </c>
      <c r="F65" s="20">
        <f t="shared" si="37"/>
        <v>10943</v>
      </c>
      <c r="G65" s="20">
        <f t="shared" si="37"/>
        <v>7757</v>
      </c>
      <c r="H65" s="20">
        <f t="shared" si="37"/>
        <v>1242</v>
      </c>
      <c r="I65" s="20">
        <f t="shared" si="37"/>
        <v>0</v>
      </c>
      <c r="J65" s="20">
        <f t="shared" si="37"/>
        <v>0</v>
      </c>
      <c r="K65" s="20">
        <f t="shared" si="37"/>
        <v>8999</v>
      </c>
      <c r="L65" s="20">
        <f>+L66+L67+L68</f>
        <v>1944</v>
      </c>
      <c r="M65" s="20">
        <f>+M66+M67+M68</f>
        <v>0</v>
      </c>
      <c r="N65" s="20"/>
      <c r="O65" s="20">
        <f>+O66+O67+O68</f>
        <v>0</v>
      </c>
      <c r="P65" s="21">
        <f>+P66+P67+P68</f>
        <v>1944</v>
      </c>
      <c r="Q65" s="18"/>
    </row>
    <row r="66" spans="1:17" ht="12.75" customHeight="1">
      <c r="A66" s="22" t="s">
        <v>16</v>
      </c>
      <c r="B66" s="29">
        <v>8513</v>
      </c>
      <c r="C66" s="29">
        <v>1242</v>
      </c>
      <c r="D66" s="29"/>
      <c r="E66" s="30"/>
      <c r="F66" s="24">
        <f>SUM(B66:E66)</f>
        <v>9755</v>
      </c>
      <c r="G66" s="29">
        <v>6842</v>
      </c>
      <c r="H66" s="29">
        <v>1242</v>
      </c>
      <c r="I66" s="29"/>
      <c r="J66" s="29"/>
      <c r="K66" s="24">
        <f>SUM(G66:J66)</f>
        <v>8084</v>
      </c>
      <c r="L66" s="25">
        <f t="shared" ref="L66:M68" si="38">+B66-G66</f>
        <v>1671</v>
      </c>
      <c r="M66" s="25">
        <f t="shared" si="38"/>
        <v>0</v>
      </c>
      <c r="N66" s="25"/>
      <c r="O66" s="25">
        <f>+E66-J66</f>
        <v>0</v>
      </c>
      <c r="P66" s="26">
        <f>SUM(L66:O66)</f>
        <v>1671</v>
      </c>
      <c r="Q66" s="18"/>
    </row>
    <row r="67" spans="1:17" ht="12.75" customHeight="1">
      <c r="A67" s="22" t="s">
        <v>17</v>
      </c>
      <c r="B67" s="29">
        <v>415</v>
      </c>
      <c r="C67" s="34"/>
      <c r="D67" s="34"/>
      <c r="E67" s="30"/>
      <c r="F67" s="24">
        <f>SUM(B67:E67)</f>
        <v>415</v>
      </c>
      <c r="G67" s="29">
        <f>235+180</f>
        <v>415</v>
      </c>
      <c r="H67" s="34"/>
      <c r="I67" s="34"/>
      <c r="J67" s="34"/>
      <c r="K67" s="24">
        <f>SUM(G67:J67)</f>
        <v>415</v>
      </c>
      <c r="L67" s="25">
        <f t="shared" si="38"/>
        <v>0</v>
      </c>
      <c r="M67" s="25">
        <f t="shared" si="38"/>
        <v>0</v>
      </c>
      <c r="N67" s="25"/>
      <c r="O67" s="25">
        <f>+E67-J67</f>
        <v>0</v>
      </c>
      <c r="P67" s="26">
        <f>SUM(L67:O67)</f>
        <v>0</v>
      </c>
      <c r="Q67" s="18"/>
    </row>
    <row r="68" spans="1:17" ht="12.75" customHeight="1">
      <c r="A68" s="22" t="s">
        <v>18</v>
      </c>
      <c r="B68" s="29">
        <v>773</v>
      </c>
      <c r="C68" s="34"/>
      <c r="D68" s="34"/>
      <c r="E68" s="35"/>
      <c r="F68" s="24">
        <f>SUM(B68:E68)</f>
        <v>773</v>
      </c>
      <c r="G68" s="29">
        <v>500</v>
      </c>
      <c r="H68" s="34"/>
      <c r="I68" s="34"/>
      <c r="J68" s="34"/>
      <c r="K68" s="24">
        <f>SUM(G68:J68)</f>
        <v>500</v>
      </c>
      <c r="L68" s="25">
        <f t="shared" si="38"/>
        <v>273</v>
      </c>
      <c r="M68" s="25">
        <f t="shared" si="38"/>
        <v>0</v>
      </c>
      <c r="N68" s="25"/>
      <c r="O68" s="25">
        <f>+E68-J68</f>
        <v>0</v>
      </c>
      <c r="P68" s="26">
        <f>SUM(L68:O68)</f>
        <v>273</v>
      </c>
      <c r="Q68" s="18"/>
    </row>
    <row r="69" spans="1:17" ht="12.75" customHeight="1">
      <c r="A69" s="22" t="s">
        <v>19</v>
      </c>
      <c r="B69" s="27">
        <f t="shared" ref="B69:K69" si="39">+B70+B71</f>
        <v>0</v>
      </c>
      <c r="C69" s="27">
        <f t="shared" si="39"/>
        <v>0</v>
      </c>
      <c r="D69" s="27">
        <f t="shared" si="39"/>
        <v>0</v>
      </c>
      <c r="E69" s="27">
        <f t="shared" si="39"/>
        <v>0</v>
      </c>
      <c r="F69" s="27">
        <f t="shared" si="39"/>
        <v>0</v>
      </c>
      <c r="G69" s="27">
        <f t="shared" si="39"/>
        <v>0</v>
      </c>
      <c r="H69" s="27">
        <f t="shared" si="39"/>
        <v>0</v>
      </c>
      <c r="I69" s="27">
        <f t="shared" si="39"/>
        <v>0</v>
      </c>
      <c r="J69" s="27">
        <f t="shared" si="39"/>
        <v>0</v>
      </c>
      <c r="K69" s="27">
        <f t="shared" si="39"/>
        <v>0</v>
      </c>
      <c r="L69" s="27">
        <f t="shared" ref="L69:P69" si="40">+L70+L71</f>
        <v>0</v>
      </c>
      <c r="M69" s="27">
        <f t="shared" si="40"/>
        <v>0</v>
      </c>
      <c r="N69" s="27"/>
      <c r="O69" s="27">
        <f t="shared" si="40"/>
        <v>0</v>
      </c>
      <c r="P69" s="28">
        <f t="shared" si="40"/>
        <v>0</v>
      </c>
      <c r="Q69" s="18"/>
    </row>
    <row r="70" spans="1:17" ht="12.75" customHeight="1">
      <c r="A70" s="23" t="s">
        <v>20</v>
      </c>
      <c r="B70" s="29"/>
      <c r="C70" s="29"/>
      <c r="D70" s="29"/>
      <c r="E70" s="30"/>
      <c r="F70" s="24">
        <f>SUM(B70:E70)</f>
        <v>0</v>
      </c>
      <c r="G70" s="29"/>
      <c r="H70" s="29"/>
      <c r="I70" s="29"/>
      <c r="J70" s="29"/>
      <c r="K70" s="24">
        <f>SUM(G70:J70)</f>
        <v>0</v>
      </c>
      <c r="L70" s="25">
        <f>+B70-G70</f>
        <v>0</v>
      </c>
      <c r="M70" s="25">
        <f>+C70-H70</f>
        <v>0</v>
      </c>
      <c r="N70" s="25"/>
      <c r="O70" s="25">
        <f>+E70-J70</f>
        <v>0</v>
      </c>
      <c r="P70" s="26">
        <f>SUM(L70:O70)</f>
        <v>0</v>
      </c>
      <c r="Q70" s="18"/>
    </row>
    <row r="71" spans="1:17" ht="12.75" customHeight="1">
      <c r="A71" s="23" t="s">
        <v>21</v>
      </c>
      <c r="B71" s="29"/>
      <c r="C71" s="29"/>
      <c r="D71" s="29"/>
      <c r="E71" s="30"/>
      <c r="F71" s="24">
        <f>SUM(B71:E71)</f>
        <v>0</v>
      </c>
      <c r="G71" s="29"/>
      <c r="H71" s="29"/>
      <c r="I71" s="29"/>
      <c r="J71" s="29"/>
      <c r="K71" s="24">
        <f>SUM(G71:J71)</f>
        <v>0</v>
      </c>
      <c r="L71" s="25">
        <f>+B71-G71</f>
        <v>0</v>
      </c>
      <c r="M71" s="25">
        <f>+C71-H71</f>
        <v>0</v>
      </c>
      <c r="N71" s="25"/>
      <c r="O71" s="25">
        <f>+E71-J71</f>
        <v>0</v>
      </c>
      <c r="P71" s="26">
        <f>SUM(L71:O71)</f>
        <v>0</v>
      </c>
      <c r="Q71" s="18"/>
    </row>
    <row r="72" spans="1:17" ht="12.75" customHeight="1">
      <c r="A72" s="33"/>
      <c r="B72" s="25"/>
      <c r="C72" s="25"/>
      <c r="D72" s="25"/>
      <c r="E72" s="43"/>
      <c r="F72" s="24"/>
      <c r="G72" s="25"/>
      <c r="H72" s="25"/>
      <c r="I72" s="25"/>
      <c r="J72" s="25"/>
      <c r="K72" s="24"/>
      <c r="L72" s="25"/>
      <c r="M72" s="25"/>
      <c r="N72" s="25"/>
      <c r="O72" s="25"/>
      <c r="P72" s="26"/>
      <c r="Q72" s="18"/>
    </row>
    <row r="73" spans="1:17" ht="12.75" customHeight="1">
      <c r="A73" s="33" t="s">
        <v>356</v>
      </c>
      <c r="B73" s="17">
        <f t="shared" ref="B73:F73" si="41">+B74+B78</f>
        <v>261744</v>
      </c>
      <c r="C73" s="17">
        <f t="shared" si="41"/>
        <v>114594</v>
      </c>
      <c r="D73" s="17">
        <f t="shared" si="41"/>
        <v>0</v>
      </c>
      <c r="E73" s="17">
        <f t="shared" si="41"/>
        <v>7542</v>
      </c>
      <c r="F73" s="17">
        <f t="shared" si="41"/>
        <v>383880</v>
      </c>
      <c r="G73" s="37">
        <f>+G74+G78</f>
        <v>120654</v>
      </c>
      <c r="H73" s="37">
        <f>+H74+H78</f>
        <v>29780</v>
      </c>
      <c r="I73" s="37"/>
      <c r="J73" s="37">
        <f>+J74+J78</f>
        <v>1924</v>
      </c>
      <c r="K73" s="37">
        <f t="shared" ref="K73" si="42">+K74+K78</f>
        <v>152358</v>
      </c>
      <c r="L73" s="17">
        <f>+L74+L78</f>
        <v>141090</v>
      </c>
      <c r="M73" s="17">
        <f>+M74+M78</f>
        <v>84814</v>
      </c>
      <c r="N73" s="17"/>
      <c r="O73" s="17">
        <f>+O74+O78</f>
        <v>5618</v>
      </c>
      <c r="P73" s="17">
        <f>+P74+P78</f>
        <v>231522</v>
      </c>
      <c r="Q73" s="18">
        <f>+K73/F73</f>
        <v>0.3968896530165677</v>
      </c>
    </row>
    <row r="74" spans="1:17" ht="12.75" customHeight="1">
      <c r="A74" s="41" t="s">
        <v>15</v>
      </c>
      <c r="B74" s="20">
        <f t="shared" ref="B74:J74" si="43">+B75+B76+B77</f>
        <v>261744</v>
      </c>
      <c r="C74" s="20">
        <f t="shared" si="43"/>
        <v>89194</v>
      </c>
      <c r="D74" s="20">
        <f t="shared" si="43"/>
        <v>0</v>
      </c>
      <c r="E74" s="20">
        <f t="shared" si="43"/>
        <v>7200</v>
      </c>
      <c r="F74" s="20">
        <f t="shared" si="43"/>
        <v>358138</v>
      </c>
      <c r="G74" s="38">
        <f t="shared" si="43"/>
        <v>120654</v>
      </c>
      <c r="H74" s="38">
        <f t="shared" si="43"/>
        <v>29371</v>
      </c>
      <c r="I74" s="38"/>
      <c r="J74" s="38">
        <f t="shared" si="43"/>
        <v>1924</v>
      </c>
      <c r="K74" s="38">
        <f>+K75+K76+K77</f>
        <v>151949</v>
      </c>
      <c r="L74" s="20">
        <f>+L75+L76+L77</f>
        <v>141090</v>
      </c>
      <c r="M74" s="20">
        <f>+M75+M76+M77</f>
        <v>59823</v>
      </c>
      <c r="N74" s="20"/>
      <c r="O74" s="20">
        <f>+O75+O76+O77</f>
        <v>5276</v>
      </c>
      <c r="P74" s="21">
        <f>+P75+P76+P77</f>
        <v>206189</v>
      </c>
      <c r="Q74" s="18"/>
    </row>
    <row r="75" spans="1:17" ht="12.75" customHeight="1">
      <c r="A75" s="22" t="s">
        <v>16</v>
      </c>
      <c r="B75" s="29">
        <v>223612</v>
      </c>
      <c r="C75" s="29">
        <v>89194</v>
      </c>
      <c r="D75" s="29"/>
      <c r="E75" s="30">
        <v>7200</v>
      </c>
      <c r="F75" s="24">
        <f>SUM(B75:E75)</f>
        <v>320006</v>
      </c>
      <c r="G75" s="31">
        <v>108666</v>
      </c>
      <c r="H75" s="31">
        <v>29371</v>
      </c>
      <c r="I75" s="31"/>
      <c r="J75" s="31">
        <v>1924</v>
      </c>
      <c r="K75" s="32">
        <f>SUM(G75:J75)</f>
        <v>139961</v>
      </c>
      <c r="L75" s="25">
        <f t="shared" ref="L75:M77" si="44">+B75-G75</f>
        <v>114946</v>
      </c>
      <c r="M75" s="25">
        <f t="shared" si="44"/>
        <v>59823</v>
      </c>
      <c r="N75" s="25"/>
      <c r="O75" s="25">
        <f>+E75-J75</f>
        <v>5276</v>
      </c>
      <c r="P75" s="26">
        <f>SUM(L75:O75)</f>
        <v>180045</v>
      </c>
      <c r="Q75" s="18"/>
    </row>
    <row r="76" spans="1:17" ht="12.75" customHeight="1">
      <c r="A76" s="22" t="s">
        <v>17</v>
      </c>
      <c r="B76" s="29">
        <v>16630</v>
      </c>
      <c r="C76" s="29"/>
      <c r="D76" s="29"/>
      <c r="E76" s="30"/>
      <c r="F76" s="24">
        <f>SUM(B76:E76)</f>
        <v>16630</v>
      </c>
      <c r="G76" s="31">
        <v>3403</v>
      </c>
      <c r="H76" s="31"/>
      <c r="I76" s="31"/>
      <c r="J76" s="39"/>
      <c r="K76" s="32">
        <f>SUM(G76:J76)</f>
        <v>3403</v>
      </c>
      <c r="L76" s="25">
        <f t="shared" si="44"/>
        <v>13227</v>
      </c>
      <c r="M76" s="25">
        <f t="shared" si="44"/>
        <v>0</v>
      </c>
      <c r="N76" s="25"/>
      <c r="O76" s="25">
        <f>+E76-J76</f>
        <v>0</v>
      </c>
      <c r="P76" s="26">
        <f>SUM(L76:O76)</f>
        <v>13227</v>
      </c>
      <c r="Q76" s="18"/>
    </row>
    <row r="77" spans="1:17" ht="12.75" customHeight="1">
      <c r="A77" s="22" t="s">
        <v>18</v>
      </c>
      <c r="B77" s="29">
        <v>21502</v>
      </c>
      <c r="C77" s="34"/>
      <c r="D77" s="34"/>
      <c r="E77" s="30"/>
      <c r="F77" s="24">
        <f>SUM(B77:E77)</f>
        <v>21502</v>
      </c>
      <c r="G77" s="31">
        <v>8585</v>
      </c>
      <c r="H77" s="39"/>
      <c r="I77" s="39"/>
      <c r="J77" s="39"/>
      <c r="K77" s="32">
        <f>SUM(G77:J77)</f>
        <v>8585</v>
      </c>
      <c r="L77" s="25">
        <f t="shared" si="44"/>
        <v>12917</v>
      </c>
      <c r="M77" s="25">
        <f t="shared" si="44"/>
        <v>0</v>
      </c>
      <c r="N77" s="25"/>
      <c r="O77" s="25">
        <f>+E77-J77</f>
        <v>0</v>
      </c>
      <c r="P77" s="26">
        <f>SUM(L77:O77)</f>
        <v>12917</v>
      </c>
      <c r="Q77" s="18"/>
    </row>
    <row r="78" spans="1:17" ht="12.75" customHeight="1">
      <c r="A78" s="22" t="s">
        <v>19</v>
      </c>
      <c r="B78" s="27">
        <f t="shared" ref="B78:F78" si="45">+B79+B80</f>
        <v>0</v>
      </c>
      <c r="C78" s="27">
        <f t="shared" si="45"/>
        <v>25400</v>
      </c>
      <c r="D78" s="27">
        <f t="shared" si="45"/>
        <v>0</v>
      </c>
      <c r="E78" s="27">
        <f t="shared" si="45"/>
        <v>342</v>
      </c>
      <c r="F78" s="27">
        <f t="shared" si="45"/>
        <v>25742</v>
      </c>
      <c r="G78" s="40">
        <f>+G79+G80</f>
        <v>0</v>
      </c>
      <c r="H78" s="40">
        <f>+H79+H80</f>
        <v>409</v>
      </c>
      <c r="I78" s="40"/>
      <c r="J78" s="40">
        <f>+J79+J80</f>
        <v>0</v>
      </c>
      <c r="K78" s="40">
        <f t="shared" ref="K78" si="46">+K79+K80</f>
        <v>409</v>
      </c>
      <c r="L78" s="27">
        <f t="shared" ref="L78:P78" si="47">+L79+L80</f>
        <v>0</v>
      </c>
      <c r="M78" s="27">
        <f t="shared" si="47"/>
        <v>24991</v>
      </c>
      <c r="N78" s="27"/>
      <c r="O78" s="27">
        <f t="shared" si="47"/>
        <v>342</v>
      </c>
      <c r="P78" s="28">
        <f t="shared" si="47"/>
        <v>25333</v>
      </c>
      <c r="Q78" s="18"/>
    </row>
    <row r="79" spans="1:17" ht="12.75" customHeight="1">
      <c r="A79" s="23" t="s">
        <v>20</v>
      </c>
      <c r="B79" s="29"/>
      <c r="C79" s="29">
        <v>25400</v>
      </c>
      <c r="D79" s="29"/>
      <c r="E79" s="30">
        <v>342</v>
      </c>
      <c r="F79" s="24">
        <f>SUM(B79:E79)</f>
        <v>25742</v>
      </c>
      <c r="G79" s="31"/>
      <c r="H79" s="31">
        <v>409</v>
      </c>
      <c r="I79" s="31"/>
      <c r="J79" s="31"/>
      <c r="K79" s="32">
        <f>SUM(G79:J79)</f>
        <v>409</v>
      </c>
      <c r="L79" s="25">
        <f>+B79-G79</f>
        <v>0</v>
      </c>
      <c r="M79" s="25">
        <f>+C79-H79</f>
        <v>24991</v>
      </c>
      <c r="N79" s="25"/>
      <c r="O79" s="25">
        <f>+E79-J79</f>
        <v>342</v>
      </c>
      <c r="P79" s="26">
        <f>SUM(L79:O79)</f>
        <v>25333</v>
      </c>
      <c r="Q79" s="18"/>
    </row>
    <row r="80" spans="1:17" ht="12.75" customHeight="1">
      <c r="A80" s="23" t="s">
        <v>21</v>
      </c>
      <c r="B80" s="29"/>
      <c r="C80" s="29"/>
      <c r="D80" s="29"/>
      <c r="E80" s="30"/>
      <c r="F80" s="24">
        <f>SUM(B80:E80)</f>
        <v>0</v>
      </c>
      <c r="G80" s="31"/>
      <c r="H80" s="31"/>
      <c r="I80" s="31"/>
      <c r="J80" s="31"/>
      <c r="K80" s="32">
        <f>SUM(G80:J80)</f>
        <v>0</v>
      </c>
      <c r="L80" s="25">
        <f>+B80-G80</f>
        <v>0</v>
      </c>
      <c r="M80" s="25">
        <f>+C80-H80</f>
        <v>0</v>
      </c>
      <c r="N80" s="25"/>
      <c r="O80" s="25">
        <f>+E80-J80</f>
        <v>0</v>
      </c>
      <c r="P80" s="26">
        <f>SUM(L80:O80)</f>
        <v>0</v>
      </c>
      <c r="Q80" s="18"/>
    </row>
    <row r="81" spans="1:18" ht="12.75" customHeight="1">
      <c r="A81" s="33"/>
      <c r="B81" s="25"/>
      <c r="C81" s="25"/>
      <c r="D81" s="25"/>
      <c r="E81" s="43"/>
      <c r="F81" s="24"/>
      <c r="G81" s="25"/>
      <c r="H81" s="25"/>
      <c r="I81" s="25"/>
      <c r="J81" s="25"/>
      <c r="K81" s="24"/>
      <c r="L81" s="25"/>
      <c r="M81" s="25"/>
      <c r="N81" s="25"/>
      <c r="O81" s="25"/>
      <c r="P81" s="26"/>
      <c r="Q81" s="18"/>
    </row>
    <row r="82" spans="1:18" ht="12.75" customHeight="1">
      <c r="A82" s="33" t="s">
        <v>65</v>
      </c>
      <c r="B82" s="17">
        <f t="shared" ref="B82:K82" si="48">+B83+B87</f>
        <v>127511</v>
      </c>
      <c r="C82" s="17">
        <f t="shared" si="48"/>
        <v>103282</v>
      </c>
      <c r="D82" s="17">
        <f t="shared" si="48"/>
        <v>0</v>
      </c>
      <c r="E82" s="17">
        <f t="shared" si="48"/>
        <v>346232</v>
      </c>
      <c r="F82" s="17">
        <f t="shared" si="48"/>
        <v>577025</v>
      </c>
      <c r="G82" s="17">
        <f t="shared" si="48"/>
        <v>127016</v>
      </c>
      <c r="H82" s="17">
        <f t="shared" si="48"/>
        <v>76260</v>
      </c>
      <c r="I82" s="17">
        <f t="shared" si="48"/>
        <v>0</v>
      </c>
      <c r="J82" s="17">
        <f t="shared" si="48"/>
        <v>324701</v>
      </c>
      <c r="K82" s="17">
        <f t="shared" si="48"/>
        <v>527977</v>
      </c>
      <c r="L82" s="17">
        <f>+L83+L87</f>
        <v>495</v>
      </c>
      <c r="M82" s="17">
        <f>+M83+M87</f>
        <v>27022</v>
      </c>
      <c r="N82" s="17"/>
      <c r="O82" s="17">
        <f>+O83+O87</f>
        <v>21531</v>
      </c>
      <c r="P82" s="17">
        <f>+P83+P87</f>
        <v>49048</v>
      </c>
      <c r="Q82" s="18">
        <f>+K82/F82</f>
        <v>0.91499848360123048</v>
      </c>
      <c r="R82" s="52"/>
    </row>
    <row r="83" spans="1:18" ht="12.75" customHeight="1">
      <c r="A83" s="41" t="s">
        <v>15</v>
      </c>
      <c r="B83" s="20">
        <f t="shared" ref="B83:K83" si="49">+B84+B85+B86</f>
        <v>127511</v>
      </c>
      <c r="C83" s="20">
        <f t="shared" si="49"/>
        <v>78839</v>
      </c>
      <c r="D83" s="20">
        <f t="shared" si="49"/>
        <v>0</v>
      </c>
      <c r="E83" s="20">
        <f t="shared" si="49"/>
        <v>335495</v>
      </c>
      <c r="F83" s="20">
        <f t="shared" si="49"/>
        <v>541845</v>
      </c>
      <c r="G83" s="20">
        <f t="shared" si="49"/>
        <v>127016</v>
      </c>
      <c r="H83" s="20">
        <f t="shared" si="49"/>
        <v>76260</v>
      </c>
      <c r="I83" s="20">
        <f t="shared" si="49"/>
        <v>0</v>
      </c>
      <c r="J83" s="20">
        <f t="shared" si="49"/>
        <v>324701</v>
      </c>
      <c r="K83" s="20">
        <f t="shared" si="49"/>
        <v>527977</v>
      </c>
      <c r="L83" s="20">
        <f>+L84+L85+L86</f>
        <v>495</v>
      </c>
      <c r="M83" s="20">
        <f>+M84+M85+M86</f>
        <v>2579</v>
      </c>
      <c r="N83" s="20"/>
      <c r="O83" s="20">
        <f>+O84+O85+O86</f>
        <v>10794</v>
      </c>
      <c r="P83" s="21">
        <f>+P84+P85+P86</f>
        <v>13868</v>
      </c>
      <c r="Q83" s="18"/>
    </row>
    <row r="84" spans="1:18" ht="12.75" customHeight="1">
      <c r="A84" s="22" t="s">
        <v>16</v>
      </c>
      <c r="B84" s="29">
        <v>7</v>
      </c>
      <c r="C84" s="29"/>
      <c r="D84" s="29"/>
      <c r="E84" s="30"/>
      <c r="F84" s="24">
        <f>SUM(B84:E84)</f>
        <v>7</v>
      </c>
      <c r="G84" s="29"/>
      <c r="H84" s="29"/>
      <c r="I84" s="29"/>
      <c r="J84" s="29">
        <v>0</v>
      </c>
      <c r="K84" s="24">
        <f>SUM(G84:J84)</f>
        <v>0</v>
      </c>
      <c r="L84" s="25">
        <f t="shared" ref="L84:M86" si="50">+B84-G84</f>
        <v>7</v>
      </c>
      <c r="M84" s="25">
        <f t="shared" si="50"/>
        <v>0</v>
      </c>
      <c r="N84" s="25"/>
      <c r="O84" s="25">
        <f>+E84-J84</f>
        <v>0</v>
      </c>
      <c r="P84" s="26">
        <f>SUM(L84:O84)</f>
        <v>7</v>
      </c>
      <c r="Q84" s="18"/>
    </row>
    <row r="85" spans="1:18" ht="12.75" customHeight="1">
      <c r="A85" s="22" t="s">
        <v>17</v>
      </c>
      <c r="B85" s="29"/>
      <c r="C85" s="34"/>
      <c r="D85" s="34"/>
      <c r="E85" s="30"/>
      <c r="F85" s="24">
        <f>SUM(B85:E85)</f>
        <v>0</v>
      </c>
      <c r="G85" s="29"/>
      <c r="H85" s="34"/>
      <c r="I85" s="34"/>
      <c r="J85" s="34"/>
      <c r="K85" s="24">
        <f>SUM(G85:J85)</f>
        <v>0</v>
      </c>
      <c r="L85" s="25">
        <f t="shared" si="50"/>
        <v>0</v>
      </c>
      <c r="M85" s="25">
        <f t="shared" si="50"/>
        <v>0</v>
      </c>
      <c r="N85" s="25"/>
      <c r="O85" s="25">
        <f>+E85-J85</f>
        <v>0</v>
      </c>
      <c r="P85" s="26">
        <f>SUM(L85:O85)</f>
        <v>0</v>
      </c>
      <c r="Q85" s="18"/>
    </row>
    <row r="86" spans="1:18" ht="12.75" customHeight="1">
      <c r="A86" s="22" t="s">
        <v>18</v>
      </c>
      <c r="B86" s="29">
        <v>127504</v>
      </c>
      <c r="C86" s="29">
        <v>78839</v>
      </c>
      <c r="D86" s="29"/>
      <c r="E86" s="30">
        <v>335495</v>
      </c>
      <c r="F86" s="24">
        <f>SUM(B86:E86)</f>
        <v>541838</v>
      </c>
      <c r="G86" s="29">
        <f>115094+11922</f>
        <v>127016</v>
      </c>
      <c r="H86" s="29">
        <v>76260</v>
      </c>
      <c r="I86" s="29"/>
      <c r="J86" s="29">
        <v>324701</v>
      </c>
      <c r="K86" s="24">
        <f>SUM(G86:J86)</f>
        <v>527977</v>
      </c>
      <c r="L86" s="25">
        <f t="shared" si="50"/>
        <v>488</v>
      </c>
      <c r="M86" s="25">
        <f t="shared" si="50"/>
        <v>2579</v>
      </c>
      <c r="N86" s="25"/>
      <c r="O86" s="25">
        <f>+E86-J86</f>
        <v>10794</v>
      </c>
      <c r="P86" s="26">
        <f>SUM(L86:O86)</f>
        <v>13861</v>
      </c>
      <c r="Q86" s="18"/>
    </row>
    <row r="87" spans="1:18" ht="12.75" customHeight="1">
      <c r="A87" s="22" t="s">
        <v>19</v>
      </c>
      <c r="B87" s="27">
        <f t="shared" ref="B87:K87" si="51">+B88+B89</f>
        <v>0</v>
      </c>
      <c r="C87" s="27">
        <f t="shared" si="51"/>
        <v>24443</v>
      </c>
      <c r="D87" s="27">
        <f t="shared" si="51"/>
        <v>0</v>
      </c>
      <c r="E87" s="27">
        <f t="shared" si="51"/>
        <v>10737</v>
      </c>
      <c r="F87" s="27">
        <f t="shared" si="51"/>
        <v>35180</v>
      </c>
      <c r="G87" s="27">
        <f t="shared" si="51"/>
        <v>0</v>
      </c>
      <c r="H87" s="27">
        <f t="shared" si="51"/>
        <v>0</v>
      </c>
      <c r="I87" s="27">
        <f t="shared" si="51"/>
        <v>0</v>
      </c>
      <c r="J87" s="27">
        <f t="shared" si="51"/>
        <v>0</v>
      </c>
      <c r="K87" s="27">
        <f t="shared" si="51"/>
        <v>0</v>
      </c>
      <c r="L87" s="27">
        <f t="shared" ref="L87:P87" si="52">+L88+L89</f>
        <v>0</v>
      </c>
      <c r="M87" s="27">
        <f t="shared" si="52"/>
        <v>24443</v>
      </c>
      <c r="N87" s="27"/>
      <c r="O87" s="27">
        <f t="shared" si="52"/>
        <v>10737</v>
      </c>
      <c r="P87" s="28">
        <f t="shared" si="52"/>
        <v>35180</v>
      </c>
      <c r="Q87" s="18"/>
    </row>
    <row r="88" spans="1:18" ht="12.75" customHeight="1">
      <c r="A88" s="23" t="s">
        <v>20</v>
      </c>
      <c r="B88" s="29"/>
      <c r="C88" s="29">
        <v>24443</v>
      </c>
      <c r="D88" s="29"/>
      <c r="E88" s="30">
        <v>10737</v>
      </c>
      <c r="F88" s="24">
        <f>SUM(B88:E88)</f>
        <v>35180</v>
      </c>
      <c r="G88" s="29"/>
      <c r="H88" s="29"/>
      <c r="I88" s="29"/>
      <c r="J88" s="29"/>
      <c r="K88" s="24">
        <f>SUM(G88:J88)</f>
        <v>0</v>
      </c>
      <c r="L88" s="25">
        <f>+B88-G88</f>
        <v>0</v>
      </c>
      <c r="M88" s="25">
        <f>+C88-H88</f>
        <v>24443</v>
      </c>
      <c r="N88" s="25"/>
      <c r="O88" s="25">
        <f>+E88-J88</f>
        <v>10737</v>
      </c>
      <c r="P88" s="26">
        <f>SUM(L88:O88)</f>
        <v>35180</v>
      </c>
      <c r="Q88" s="18"/>
    </row>
    <row r="89" spans="1:18" ht="12.75" customHeight="1">
      <c r="A89" s="23" t="s">
        <v>21</v>
      </c>
      <c r="B89" s="29"/>
      <c r="C89" s="29"/>
      <c r="D89" s="29"/>
      <c r="E89" s="30"/>
      <c r="F89" s="24">
        <f>SUM(B89:E89)</f>
        <v>0</v>
      </c>
      <c r="G89" s="29"/>
      <c r="H89" s="29"/>
      <c r="I89" s="29"/>
      <c r="J89" s="29"/>
      <c r="K89" s="24">
        <f>SUM(G89:J89)</f>
        <v>0</v>
      </c>
      <c r="L89" s="25">
        <f>+B89-G89</f>
        <v>0</v>
      </c>
      <c r="M89" s="25">
        <f>+C89-H89</f>
        <v>0</v>
      </c>
      <c r="N89" s="25"/>
      <c r="O89" s="25">
        <f>+E89-J89</f>
        <v>0</v>
      </c>
      <c r="P89" s="26">
        <f>SUM(L89:O89)</f>
        <v>0</v>
      </c>
      <c r="Q89" s="18"/>
    </row>
    <row r="90" spans="1:18" ht="12.75" customHeight="1">
      <c r="A90" s="33"/>
      <c r="B90" s="25"/>
      <c r="C90" s="25"/>
      <c r="D90" s="25"/>
      <c r="E90" s="43"/>
      <c r="F90" s="24"/>
      <c r="G90" s="25"/>
      <c r="H90" s="25"/>
      <c r="I90" s="25"/>
      <c r="J90" s="25"/>
      <c r="K90" s="24"/>
      <c r="L90" s="25"/>
      <c r="M90" s="25"/>
      <c r="N90" s="25"/>
      <c r="O90" s="25"/>
      <c r="P90" s="26"/>
      <c r="Q90" s="18"/>
    </row>
    <row r="91" spans="1:18" ht="12.75" customHeight="1">
      <c r="A91" s="33" t="s">
        <v>66</v>
      </c>
      <c r="B91" s="17">
        <f t="shared" ref="B91:K91" si="53">+B92+B96</f>
        <v>36303</v>
      </c>
      <c r="C91" s="17">
        <f t="shared" si="53"/>
        <v>13049</v>
      </c>
      <c r="D91" s="17">
        <f t="shared" si="53"/>
        <v>0</v>
      </c>
      <c r="E91" s="17">
        <f t="shared" si="53"/>
        <v>0</v>
      </c>
      <c r="F91" s="17">
        <f t="shared" si="53"/>
        <v>49352</v>
      </c>
      <c r="G91" s="17">
        <f t="shared" si="53"/>
        <v>36107</v>
      </c>
      <c r="H91" s="17">
        <f t="shared" si="53"/>
        <v>12752</v>
      </c>
      <c r="I91" s="17">
        <f t="shared" si="53"/>
        <v>0</v>
      </c>
      <c r="J91" s="17">
        <f t="shared" si="53"/>
        <v>0</v>
      </c>
      <c r="K91" s="17">
        <f t="shared" si="53"/>
        <v>48859</v>
      </c>
      <c r="L91" s="17">
        <f>+L92+L96</f>
        <v>196</v>
      </c>
      <c r="M91" s="17">
        <f>+M92+M96</f>
        <v>297</v>
      </c>
      <c r="N91" s="17"/>
      <c r="O91" s="17">
        <f>+O92+O96</f>
        <v>0</v>
      </c>
      <c r="P91" s="17">
        <f>+P92+P96</f>
        <v>493</v>
      </c>
      <c r="Q91" s="18">
        <f>+K91/F91</f>
        <v>0.99001053655373639</v>
      </c>
    </row>
    <row r="92" spans="1:18" ht="12.75" customHeight="1">
      <c r="A92" s="41" t="s">
        <v>15</v>
      </c>
      <c r="B92" s="20">
        <f t="shared" ref="B92:K92" si="54">+B93+B94+B95</f>
        <v>36303</v>
      </c>
      <c r="C92" s="20">
        <f t="shared" si="54"/>
        <v>12850</v>
      </c>
      <c r="D92" s="20">
        <f t="shared" si="54"/>
        <v>0</v>
      </c>
      <c r="E92" s="20">
        <f t="shared" si="54"/>
        <v>0</v>
      </c>
      <c r="F92" s="20">
        <f t="shared" si="54"/>
        <v>49153</v>
      </c>
      <c r="G92" s="20">
        <f t="shared" si="54"/>
        <v>36107</v>
      </c>
      <c r="H92" s="20">
        <f t="shared" si="54"/>
        <v>12752</v>
      </c>
      <c r="I92" s="20">
        <f t="shared" si="54"/>
        <v>0</v>
      </c>
      <c r="J92" s="20">
        <f t="shared" si="54"/>
        <v>0</v>
      </c>
      <c r="K92" s="20">
        <f t="shared" si="54"/>
        <v>48859</v>
      </c>
      <c r="L92" s="20">
        <f>+L93+L94+L95</f>
        <v>196</v>
      </c>
      <c r="M92" s="20">
        <f>+M93+M94+M95</f>
        <v>98</v>
      </c>
      <c r="N92" s="20"/>
      <c r="O92" s="20">
        <f>+O93+O94+O95</f>
        <v>0</v>
      </c>
      <c r="P92" s="21">
        <f>+P93+P94+P95</f>
        <v>294</v>
      </c>
      <c r="Q92" s="18"/>
    </row>
    <row r="93" spans="1:18" ht="12.75" customHeight="1">
      <c r="A93" s="22" t="s">
        <v>16</v>
      </c>
      <c r="B93" s="29">
        <v>30926</v>
      </c>
      <c r="C93" s="29">
        <v>12850</v>
      </c>
      <c r="D93" s="29"/>
      <c r="E93" s="30"/>
      <c r="F93" s="24">
        <f>SUM(B93:E93)</f>
        <v>43776</v>
      </c>
      <c r="G93" s="29">
        <v>30911</v>
      </c>
      <c r="H93" s="29">
        <v>12752</v>
      </c>
      <c r="I93" s="29"/>
      <c r="J93" s="29"/>
      <c r="K93" s="24">
        <f>SUM(G93:J93)</f>
        <v>43663</v>
      </c>
      <c r="L93" s="25">
        <f t="shared" ref="L93:M95" si="55">+B93-G93</f>
        <v>15</v>
      </c>
      <c r="M93" s="25">
        <f t="shared" si="55"/>
        <v>98</v>
      </c>
      <c r="N93" s="25"/>
      <c r="O93" s="25">
        <f>+E93-J93</f>
        <v>0</v>
      </c>
      <c r="P93" s="26">
        <f>SUM(L93:O93)</f>
        <v>113</v>
      </c>
      <c r="Q93" s="18"/>
    </row>
    <row r="94" spans="1:18" ht="12.75" customHeight="1">
      <c r="A94" s="22" t="s">
        <v>17</v>
      </c>
      <c r="B94" s="29">
        <v>2438</v>
      </c>
      <c r="C94" s="34"/>
      <c r="D94" s="34"/>
      <c r="E94" s="30"/>
      <c r="F94" s="24">
        <f>SUM(B94:E94)</f>
        <v>2438</v>
      </c>
      <c r="G94" s="29">
        <v>2438</v>
      </c>
      <c r="H94" s="34"/>
      <c r="I94" s="34"/>
      <c r="J94" s="34"/>
      <c r="K94" s="24">
        <f>SUM(G94:J94)</f>
        <v>2438</v>
      </c>
      <c r="L94" s="25">
        <f t="shared" si="55"/>
        <v>0</v>
      </c>
      <c r="M94" s="25">
        <f t="shared" si="55"/>
        <v>0</v>
      </c>
      <c r="N94" s="25"/>
      <c r="O94" s="25">
        <f>+E94-J94</f>
        <v>0</v>
      </c>
      <c r="P94" s="26">
        <f>SUM(L94:O94)</f>
        <v>0</v>
      </c>
      <c r="Q94" s="18"/>
    </row>
    <row r="95" spans="1:18" ht="12.75" customHeight="1">
      <c r="A95" s="22" t="s">
        <v>18</v>
      </c>
      <c r="B95" s="29">
        <v>2939</v>
      </c>
      <c r="C95" s="34"/>
      <c r="D95" s="34"/>
      <c r="E95" s="35"/>
      <c r="F95" s="24">
        <f>SUM(B95:E95)</f>
        <v>2939</v>
      </c>
      <c r="G95" s="29">
        <v>2758</v>
      </c>
      <c r="H95" s="34"/>
      <c r="I95" s="34"/>
      <c r="J95" s="34"/>
      <c r="K95" s="24">
        <f>SUM(G95:J95)</f>
        <v>2758</v>
      </c>
      <c r="L95" s="25">
        <f t="shared" si="55"/>
        <v>181</v>
      </c>
      <c r="M95" s="25">
        <f t="shared" si="55"/>
        <v>0</v>
      </c>
      <c r="N95" s="25"/>
      <c r="O95" s="25">
        <f>+E95-J95</f>
        <v>0</v>
      </c>
      <c r="P95" s="26">
        <f>SUM(L95:O95)</f>
        <v>181</v>
      </c>
      <c r="Q95" s="18"/>
    </row>
    <row r="96" spans="1:18" ht="12.75" customHeight="1">
      <c r="A96" s="22" t="s">
        <v>19</v>
      </c>
      <c r="B96" s="27">
        <f t="shared" ref="B96:K96" si="56">+B97+B98</f>
        <v>0</v>
      </c>
      <c r="C96" s="27">
        <f t="shared" si="56"/>
        <v>199</v>
      </c>
      <c r="D96" s="27">
        <f t="shared" si="56"/>
        <v>0</v>
      </c>
      <c r="E96" s="27">
        <f t="shared" si="56"/>
        <v>0</v>
      </c>
      <c r="F96" s="27">
        <f t="shared" si="56"/>
        <v>199</v>
      </c>
      <c r="G96" s="27">
        <f t="shared" si="56"/>
        <v>0</v>
      </c>
      <c r="H96" s="27">
        <f t="shared" si="56"/>
        <v>0</v>
      </c>
      <c r="I96" s="27">
        <f t="shared" si="56"/>
        <v>0</v>
      </c>
      <c r="J96" s="27">
        <f t="shared" si="56"/>
        <v>0</v>
      </c>
      <c r="K96" s="27">
        <f t="shared" si="56"/>
        <v>0</v>
      </c>
      <c r="L96" s="27">
        <f t="shared" ref="L96:P96" si="57">+L97+L98</f>
        <v>0</v>
      </c>
      <c r="M96" s="27">
        <f t="shared" si="57"/>
        <v>199</v>
      </c>
      <c r="N96" s="27"/>
      <c r="O96" s="27">
        <f t="shared" si="57"/>
        <v>0</v>
      </c>
      <c r="P96" s="28">
        <f t="shared" si="57"/>
        <v>199</v>
      </c>
      <c r="Q96" s="18"/>
    </row>
    <row r="97" spans="1:17" ht="12.75" customHeight="1">
      <c r="A97" s="23" t="s">
        <v>20</v>
      </c>
      <c r="B97" s="29"/>
      <c r="C97" s="29">
        <v>199</v>
      </c>
      <c r="D97" s="29"/>
      <c r="E97" s="30"/>
      <c r="F97" s="24">
        <f>SUM(B97:E97)</f>
        <v>199</v>
      </c>
      <c r="G97" s="29"/>
      <c r="H97" s="29"/>
      <c r="I97" s="29"/>
      <c r="J97" s="29"/>
      <c r="K97" s="24">
        <f>SUM(G97:J97)</f>
        <v>0</v>
      </c>
      <c r="L97" s="25">
        <f>+B97-G97</f>
        <v>0</v>
      </c>
      <c r="M97" s="25">
        <f>+C97-H97</f>
        <v>199</v>
      </c>
      <c r="N97" s="25"/>
      <c r="O97" s="25">
        <f>+E97-J97</f>
        <v>0</v>
      </c>
      <c r="P97" s="26">
        <f>SUM(L97:O97)</f>
        <v>199</v>
      </c>
      <c r="Q97" s="18"/>
    </row>
    <row r="98" spans="1:17" ht="12.75" customHeight="1">
      <c r="A98" s="23" t="s">
        <v>21</v>
      </c>
      <c r="B98" s="29"/>
      <c r="C98" s="29"/>
      <c r="D98" s="29"/>
      <c r="E98" s="30"/>
      <c r="F98" s="24">
        <f>SUM(B98:E98)</f>
        <v>0</v>
      </c>
      <c r="G98" s="29"/>
      <c r="H98" s="29"/>
      <c r="I98" s="29"/>
      <c r="J98" s="29"/>
      <c r="K98" s="24">
        <f>SUM(G98:J98)</f>
        <v>0</v>
      </c>
      <c r="L98" s="25">
        <f>+B98-G98</f>
        <v>0</v>
      </c>
      <c r="M98" s="25">
        <f>+C98-H98</f>
        <v>0</v>
      </c>
      <c r="N98" s="25"/>
      <c r="O98" s="25">
        <f>+E98-J98</f>
        <v>0</v>
      </c>
      <c r="P98" s="26">
        <f>SUM(L98:O98)</f>
        <v>0</v>
      </c>
      <c r="Q98" s="18"/>
    </row>
    <row r="99" spans="1:17" ht="12.75" customHeight="1">
      <c r="A99" s="217"/>
      <c r="B99" s="44"/>
      <c r="C99" s="44"/>
      <c r="D99" s="44"/>
      <c r="E99" s="45"/>
      <c r="F99" s="77"/>
      <c r="G99" s="84"/>
      <c r="H99" s="84"/>
      <c r="I99" s="84"/>
      <c r="J99" s="84"/>
      <c r="K99" s="82"/>
      <c r="L99" s="44"/>
      <c r="M99" s="44"/>
      <c r="N99" s="44"/>
      <c r="O99" s="44"/>
      <c r="P99" s="75"/>
      <c r="Q99" s="76"/>
    </row>
    <row r="100" spans="1:17" ht="12.75" customHeight="1">
      <c r="A100" s="33" t="s">
        <v>67</v>
      </c>
      <c r="B100" s="17">
        <f t="shared" ref="B100:K100" si="58">+B101+B105</f>
        <v>43469</v>
      </c>
      <c r="C100" s="17">
        <f t="shared" si="58"/>
        <v>0</v>
      </c>
      <c r="D100" s="17">
        <f t="shared" si="58"/>
        <v>0</v>
      </c>
      <c r="E100" s="17">
        <f t="shared" si="58"/>
        <v>0</v>
      </c>
      <c r="F100" s="17">
        <f t="shared" si="58"/>
        <v>43469</v>
      </c>
      <c r="G100" s="17">
        <f t="shared" si="58"/>
        <v>34209</v>
      </c>
      <c r="H100" s="17">
        <f t="shared" si="58"/>
        <v>0</v>
      </c>
      <c r="I100" s="17">
        <f t="shared" si="58"/>
        <v>0</v>
      </c>
      <c r="J100" s="17">
        <f t="shared" si="58"/>
        <v>0</v>
      </c>
      <c r="K100" s="17">
        <f t="shared" si="58"/>
        <v>34209</v>
      </c>
      <c r="L100" s="17">
        <f>+L101+L105</f>
        <v>9260</v>
      </c>
      <c r="M100" s="17">
        <f>+M101+M105</f>
        <v>0</v>
      </c>
      <c r="N100" s="17"/>
      <c r="O100" s="17">
        <f>+O101+O105</f>
        <v>0</v>
      </c>
      <c r="P100" s="17">
        <f>+P101+P105</f>
        <v>9260</v>
      </c>
      <c r="Q100" s="18">
        <f>+K100/F100</f>
        <v>0.78697462559525178</v>
      </c>
    </row>
    <row r="101" spans="1:17" ht="12.75" customHeight="1">
      <c r="A101" s="41" t="s">
        <v>15</v>
      </c>
      <c r="B101" s="20">
        <f t="shared" ref="B101:K101" si="59">+B102+B103+B104</f>
        <v>43469</v>
      </c>
      <c r="C101" s="20">
        <f t="shared" si="59"/>
        <v>0</v>
      </c>
      <c r="D101" s="20">
        <f t="shared" si="59"/>
        <v>0</v>
      </c>
      <c r="E101" s="20">
        <f t="shared" si="59"/>
        <v>0</v>
      </c>
      <c r="F101" s="20">
        <f t="shared" si="59"/>
        <v>43469</v>
      </c>
      <c r="G101" s="20">
        <f t="shared" si="59"/>
        <v>34209</v>
      </c>
      <c r="H101" s="20">
        <f t="shared" si="59"/>
        <v>0</v>
      </c>
      <c r="I101" s="20">
        <f t="shared" si="59"/>
        <v>0</v>
      </c>
      <c r="J101" s="20">
        <f t="shared" si="59"/>
        <v>0</v>
      </c>
      <c r="K101" s="20">
        <f t="shared" si="59"/>
        <v>34209</v>
      </c>
      <c r="L101" s="20">
        <f>+L102+L103+L104</f>
        <v>9260</v>
      </c>
      <c r="M101" s="20">
        <f>+M102+M103+M104</f>
        <v>0</v>
      </c>
      <c r="N101" s="20"/>
      <c r="O101" s="20">
        <f>+O102+O103+O104</f>
        <v>0</v>
      </c>
      <c r="P101" s="21">
        <f>+P102+P103+P104</f>
        <v>9260</v>
      </c>
      <c r="Q101" s="18"/>
    </row>
    <row r="102" spans="1:17" ht="12.75" customHeight="1">
      <c r="A102" s="22" t="s">
        <v>16</v>
      </c>
      <c r="B102" s="29">
        <v>42442</v>
      </c>
      <c r="C102" s="29"/>
      <c r="D102" s="29"/>
      <c r="E102" s="30"/>
      <c r="F102" s="24">
        <f>SUM(B102:E102)</f>
        <v>42442</v>
      </c>
      <c r="G102" s="29">
        <v>33800</v>
      </c>
      <c r="H102" s="29"/>
      <c r="I102" s="29"/>
      <c r="J102" s="29"/>
      <c r="K102" s="24">
        <f>SUM(G102:J102)</f>
        <v>33800</v>
      </c>
      <c r="L102" s="25">
        <f t="shared" ref="L102:M104" si="60">+B102-G102</f>
        <v>8642</v>
      </c>
      <c r="M102" s="25">
        <f t="shared" si="60"/>
        <v>0</v>
      </c>
      <c r="N102" s="25"/>
      <c r="O102" s="25">
        <f>+E102-J102</f>
        <v>0</v>
      </c>
      <c r="P102" s="26">
        <f>SUM(L102:O102)</f>
        <v>8642</v>
      </c>
      <c r="Q102" s="18"/>
    </row>
    <row r="103" spans="1:17" ht="12.75" customHeight="1">
      <c r="A103" s="22" t="s">
        <v>17</v>
      </c>
      <c r="B103" s="29">
        <v>1027</v>
      </c>
      <c r="C103" s="34"/>
      <c r="D103" s="34"/>
      <c r="E103" s="30"/>
      <c r="F103" s="24">
        <f>SUM(B103:E103)</f>
        <v>1027</v>
      </c>
      <c r="G103" s="29">
        <v>409</v>
      </c>
      <c r="H103" s="34"/>
      <c r="I103" s="34"/>
      <c r="J103" s="34"/>
      <c r="K103" s="24">
        <f>SUM(G103:J103)</f>
        <v>409</v>
      </c>
      <c r="L103" s="25">
        <f t="shared" si="60"/>
        <v>618</v>
      </c>
      <c r="M103" s="25">
        <f t="shared" si="60"/>
        <v>0</v>
      </c>
      <c r="N103" s="25"/>
      <c r="O103" s="25">
        <f>+E103-J103</f>
        <v>0</v>
      </c>
      <c r="P103" s="26">
        <f>SUM(L103:O103)</f>
        <v>618</v>
      </c>
      <c r="Q103" s="18"/>
    </row>
    <row r="104" spans="1:17" ht="12.75" customHeight="1">
      <c r="A104" s="22" t="s">
        <v>18</v>
      </c>
      <c r="B104" s="29"/>
      <c r="C104" s="34"/>
      <c r="D104" s="34"/>
      <c r="E104" s="35"/>
      <c r="F104" s="24">
        <f>SUM(B104:E104)</f>
        <v>0</v>
      </c>
      <c r="G104" s="29"/>
      <c r="H104" s="34"/>
      <c r="I104" s="34"/>
      <c r="J104" s="34"/>
      <c r="K104" s="24">
        <f>SUM(G104:J104)</f>
        <v>0</v>
      </c>
      <c r="L104" s="25">
        <f t="shared" si="60"/>
        <v>0</v>
      </c>
      <c r="M104" s="25">
        <f t="shared" si="60"/>
        <v>0</v>
      </c>
      <c r="N104" s="25"/>
      <c r="O104" s="25">
        <f>+E104-J104</f>
        <v>0</v>
      </c>
      <c r="P104" s="26">
        <f>SUM(L104:O104)</f>
        <v>0</v>
      </c>
      <c r="Q104" s="18"/>
    </row>
    <row r="105" spans="1:17" ht="12.75" customHeight="1">
      <c r="A105" s="22" t="s">
        <v>19</v>
      </c>
      <c r="B105" s="27">
        <f t="shared" ref="B105:K105" si="61">+B106+B107</f>
        <v>0</v>
      </c>
      <c r="C105" s="27">
        <f t="shared" si="61"/>
        <v>0</v>
      </c>
      <c r="D105" s="27">
        <f t="shared" si="61"/>
        <v>0</v>
      </c>
      <c r="E105" s="27">
        <f t="shared" si="61"/>
        <v>0</v>
      </c>
      <c r="F105" s="27">
        <f t="shared" si="61"/>
        <v>0</v>
      </c>
      <c r="G105" s="27">
        <f t="shared" si="61"/>
        <v>0</v>
      </c>
      <c r="H105" s="27">
        <f t="shared" si="61"/>
        <v>0</v>
      </c>
      <c r="I105" s="27">
        <f t="shared" si="61"/>
        <v>0</v>
      </c>
      <c r="J105" s="27">
        <f t="shared" si="61"/>
        <v>0</v>
      </c>
      <c r="K105" s="27">
        <f t="shared" si="61"/>
        <v>0</v>
      </c>
      <c r="L105" s="27">
        <f t="shared" ref="L105:P105" si="62">+L106+L107</f>
        <v>0</v>
      </c>
      <c r="M105" s="27">
        <f t="shared" si="62"/>
        <v>0</v>
      </c>
      <c r="N105" s="27"/>
      <c r="O105" s="27">
        <f t="shared" si="62"/>
        <v>0</v>
      </c>
      <c r="P105" s="28">
        <f t="shared" si="62"/>
        <v>0</v>
      </c>
      <c r="Q105" s="18"/>
    </row>
    <row r="106" spans="1:17" ht="12.75" customHeight="1">
      <c r="A106" s="23" t="s">
        <v>20</v>
      </c>
      <c r="B106" s="29"/>
      <c r="C106" s="29"/>
      <c r="D106" s="29"/>
      <c r="E106" s="30"/>
      <c r="F106" s="24">
        <f>SUM(B106:E106)</f>
        <v>0</v>
      </c>
      <c r="G106" s="29"/>
      <c r="H106" s="29"/>
      <c r="I106" s="29"/>
      <c r="J106" s="29"/>
      <c r="K106" s="24">
        <f>SUM(G106:J106)</f>
        <v>0</v>
      </c>
      <c r="L106" s="25">
        <f>+B106-G106</f>
        <v>0</v>
      </c>
      <c r="M106" s="25">
        <f>+C106-H106</f>
        <v>0</v>
      </c>
      <c r="N106" s="25"/>
      <c r="O106" s="25">
        <f>+E106-J106</f>
        <v>0</v>
      </c>
      <c r="P106" s="26">
        <f>SUM(L106:O106)</f>
        <v>0</v>
      </c>
      <c r="Q106" s="18"/>
    </row>
    <row r="107" spans="1:17" ht="12.75" customHeight="1">
      <c r="A107" s="23" t="s">
        <v>21</v>
      </c>
      <c r="B107" s="29"/>
      <c r="C107" s="29"/>
      <c r="D107" s="29"/>
      <c r="E107" s="30"/>
      <c r="F107" s="24">
        <f>SUM(B107:E107)</f>
        <v>0</v>
      </c>
      <c r="G107" s="29"/>
      <c r="H107" s="29"/>
      <c r="I107" s="29"/>
      <c r="J107" s="29"/>
      <c r="K107" s="24">
        <f>SUM(G107:J107)</f>
        <v>0</v>
      </c>
      <c r="L107" s="25">
        <f>+B107-G107</f>
        <v>0</v>
      </c>
      <c r="M107" s="25">
        <f>+C107-H107</f>
        <v>0</v>
      </c>
      <c r="N107" s="25"/>
      <c r="O107" s="25">
        <f>+E107-J107</f>
        <v>0</v>
      </c>
      <c r="P107" s="26">
        <f>SUM(L107:O107)</f>
        <v>0</v>
      </c>
      <c r="Q107" s="18"/>
    </row>
    <row r="108" spans="1:17" ht="12.75" customHeight="1">
      <c r="A108" s="33"/>
      <c r="B108" s="25"/>
      <c r="C108" s="25"/>
      <c r="D108" s="25"/>
      <c r="E108" s="43"/>
      <c r="F108" s="24"/>
      <c r="G108" s="47"/>
      <c r="H108" s="47"/>
      <c r="I108" s="47"/>
      <c r="J108" s="47"/>
      <c r="K108" s="32"/>
      <c r="L108" s="25"/>
      <c r="M108" s="25"/>
      <c r="N108" s="25"/>
      <c r="O108" s="25"/>
      <c r="P108" s="26"/>
      <c r="Q108" s="18"/>
    </row>
    <row r="109" spans="1:17" ht="12.75" customHeight="1">
      <c r="A109" s="215" t="s">
        <v>68</v>
      </c>
      <c r="B109" s="17">
        <f t="shared" ref="B109:K109" si="63">+B110+B114</f>
        <v>342271</v>
      </c>
      <c r="C109" s="17">
        <f t="shared" si="63"/>
        <v>217843</v>
      </c>
      <c r="D109" s="17">
        <f t="shared" si="63"/>
        <v>0</v>
      </c>
      <c r="E109" s="17">
        <f t="shared" si="63"/>
        <v>2000</v>
      </c>
      <c r="F109" s="17">
        <f t="shared" si="63"/>
        <v>562114</v>
      </c>
      <c r="G109" s="17">
        <f t="shared" si="63"/>
        <v>177373</v>
      </c>
      <c r="H109" s="17">
        <f t="shared" si="63"/>
        <v>133403</v>
      </c>
      <c r="I109" s="17">
        <f t="shared" si="63"/>
        <v>0</v>
      </c>
      <c r="J109" s="17">
        <f t="shared" si="63"/>
        <v>546</v>
      </c>
      <c r="K109" s="17">
        <f t="shared" si="63"/>
        <v>311322</v>
      </c>
      <c r="L109" s="17">
        <f>+L110+L114</f>
        <v>164898</v>
      </c>
      <c r="M109" s="17">
        <f>+M110+M114</f>
        <v>84440</v>
      </c>
      <c r="N109" s="17"/>
      <c r="O109" s="17">
        <f>+O110+O114</f>
        <v>1454</v>
      </c>
      <c r="P109" s="17">
        <f>+P110+P114</f>
        <v>250792</v>
      </c>
      <c r="Q109" s="18">
        <f>+K109/F109</f>
        <v>0.55384139160383838</v>
      </c>
    </row>
    <row r="110" spans="1:17" ht="12.75" customHeight="1">
      <c r="A110" s="41" t="s">
        <v>15</v>
      </c>
      <c r="B110" s="20">
        <f t="shared" ref="B110:K110" si="64">+B111+B112+B113</f>
        <v>342271</v>
      </c>
      <c r="C110" s="20">
        <f t="shared" si="64"/>
        <v>217843</v>
      </c>
      <c r="D110" s="20">
        <f t="shared" si="64"/>
        <v>0</v>
      </c>
      <c r="E110" s="20">
        <f t="shared" si="64"/>
        <v>2000</v>
      </c>
      <c r="F110" s="20">
        <f t="shared" si="64"/>
        <v>562114</v>
      </c>
      <c r="G110" s="20">
        <f t="shared" si="64"/>
        <v>177373</v>
      </c>
      <c r="H110" s="20">
        <f t="shared" si="64"/>
        <v>133403</v>
      </c>
      <c r="I110" s="20">
        <f t="shared" si="64"/>
        <v>0</v>
      </c>
      <c r="J110" s="20">
        <f t="shared" si="64"/>
        <v>546</v>
      </c>
      <c r="K110" s="20">
        <f t="shared" si="64"/>
        <v>311322</v>
      </c>
      <c r="L110" s="20">
        <f>+L111+L112+L113</f>
        <v>164898</v>
      </c>
      <c r="M110" s="20">
        <f>+M111+M112+M113</f>
        <v>84440</v>
      </c>
      <c r="N110" s="20"/>
      <c r="O110" s="20">
        <f>+O111+O112+O113</f>
        <v>1454</v>
      </c>
      <c r="P110" s="21">
        <f>+P111+P112+P113</f>
        <v>250792</v>
      </c>
      <c r="Q110" s="18"/>
    </row>
    <row r="111" spans="1:17" ht="12.75" customHeight="1">
      <c r="A111" s="22" t="s">
        <v>16</v>
      </c>
      <c r="B111" s="29">
        <v>320837</v>
      </c>
      <c r="C111" s="29">
        <v>217843</v>
      </c>
      <c r="D111" s="29"/>
      <c r="E111" s="30">
        <v>2000</v>
      </c>
      <c r="F111" s="24">
        <f>SUM(B111:E111)</f>
        <v>540680</v>
      </c>
      <c r="G111" s="29">
        <v>160769</v>
      </c>
      <c r="H111" s="29">
        <v>133403</v>
      </c>
      <c r="I111" s="29"/>
      <c r="J111" s="29">
        <v>546</v>
      </c>
      <c r="K111" s="24">
        <f>SUM(G111:J111)</f>
        <v>294718</v>
      </c>
      <c r="L111" s="25">
        <f t="shared" ref="L111:M113" si="65">+B111-G111</f>
        <v>160068</v>
      </c>
      <c r="M111" s="25">
        <f t="shared" si="65"/>
        <v>84440</v>
      </c>
      <c r="N111" s="25"/>
      <c r="O111" s="25">
        <f>+E111-J111</f>
        <v>1454</v>
      </c>
      <c r="P111" s="26">
        <f>SUM(L111:O111)</f>
        <v>245962</v>
      </c>
      <c r="Q111" s="18"/>
    </row>
    <row r="112" spans="1:17" ht="12.75" customHeight="1">
      <c r="A112" s="22" t="s">
        <v>17</v>
      </c>
      <c r="B112" s="29">
        <v>5937</v>
      </c>
      <c r="C112" s="34"/>
      <c r="D112" s="34"/>
      <c r="E112" s="30"/>
      <c r="F112" s="24">
        <f>SUM(B112:E112)</f>
        <v>5937</v>
      </c>
      <c r="G112" s="29">
        <v>1107</v>
      </c>
      <c r="H112" s="29"/>
      <c r="I112" s="29"/>
      <c r="J112" s="34"/>
      <c r="K112" s="24">
        <f>SUM(G112:J112)</f>
        <v>1107</v>
      </c>
      <c r="L112" s="25">
        <f t="shared" si="65"/>
        <v>4830</v>
      </c>
      <c r="M112" s="25">
        <f t="shared" si="65"/>
        <v>0</v>
      </c>
      <c r="N112" s="25"/>
      <c r="O112" s="25">
        <f>+E112-J112</f>
        <v>0</v>
      </c>
      <c r="P112" s="26">
        <f>SUM(L112:O112)</f>
        <v>4830</v>
      </c>
      <c r="Q112" s="18"/>
    </row>
    <row r="113" spans="1:17" ht="12.75" customHeight="1">
      <c r="A113" s="22" t="s">
        <v>18</v>
      </c>
      <c r="B113" s="29">
        <v>15497</v>
      </c>
      <c r="C113" s="34"/>
      <c r="D113" s="34"/>
      <c r="E113" s="35"/>
      <c r="F113" s="24">
        <f>SUM(B113:E113)</f>
        <v>15497</v>
      </c>
      <c r="G113" s="29">
        <v>15497</v>
      </c>
      <c r="H113" s="34"/>
      <c r="I113" s="34"/>
      <c r="J113" s="34"/>
      <c r="K113" s="24">
        <f>SUM(G113:J113)</f>
        <v>15497</v>
      </c>
      <c r="L113" s="25">
        <f t="shared" si="65"/>
        <v>0</v>
      </c>
      <c r="M113" s="25">
        <f t="shared" si="65"/>
        <v>0</v>
      </c>
      <c r="N113" s="25"/>
      <c r="O113" s="25">
        <f>+E113-J113</f>
        <v>0</v>
      </c>
      <c r="P113" s="26">
        <f>SUM(L113:O113)</f>
        <v>0</v>
      </c>
      <c r="Q113" s="18"/>
    </row>
    <row r="114" spans="1:17" ht="12.75" customHeight="1">
      <c r="A114" s="22" t="s">
        <v>19</v>
      </c>
      <c r="B114" s="27">
        <f t="shared" ref="B114:K114" si="66">+B115+B116</f>
        <v>0</v>
      </c>
      <c r="C114" s="27">
        <f t="shared" si="66"/>
        <v>0</v>
      </c>
      <c r="D114" s="27">
        <f t="shared" si="66"/>
        <v>0</v>
      </c>
      <c r="E114" s="27">
        <f t="shared" si="66"/>
        <v>0</v>
      </c>
      <c r="F114" s="27">
        <f t="shared" si="66"/>
        <v>0</v>
      </c>
      <c r="G114" s="27">
        <f t="shared" si="66"/>
        <v>0</v>
      </c>
      <c r="H114" s="27">
        <f t="shared" si="66"/>
        <v>0</v>
      </c>
      <c r="I114" s="27">
        <f t="shared" si="66"/>
        <v>0</v>
      </c>
      <c r="J114" s="27">
        <f t="shared" si="66"/>
        <v>0</v>
      </c>
      <c r="K114" s="27">
        <f t="shared" si="66"/>
        <v>0</v>
      </c>
      <c r="L114" s="27">
        <f t="shared" ref="L114:P114" si="67">+L115+L116</f>
        <v>0</v>
      </c>
      <c r="M114" s="27">
        <f t="shared" si="67"/>
        <v>0</v>
      </c>
      <c r="N114" s="27"/>
      <c r="O114" s="27">
        <f t="shared" si="67"/>
        <v>0</v>
      </c>
      <c r="P114" s="28">
        <f t="shared" si="67"/>
        <v>0</v>
      </c>
      <c r="Q114" s="18"/>
    </row>
    <row r="115" spans="1:17" ht="12.75" customHeight="1">
      <c r="A115" s="23" t="s">
        <v>20</v>
      </c>
      <c r="B115" s="29"/>
      <c r="C115" s="29"/>
      <c r="D115" s="29"/>
      <c r="E115" s="30"/>
      <c r="F115" s="24">
        <f>SUM(B115:E115)</f>
        <v>0</v>
      </c>
      <c r="G115" s="29"/>
      <c r="H115" s="29"/>
      <c r="I115" s="29"/>
      <c r="J115" s="29"/>
      <c r="K115" s="24">
        <f>SUM(G115:J115)</f>
        <v>0</v>
      </c>
      <c r="L115" s="25">
        <f>+B115-G115</f>
        <v>0</v>
      </c>
      <c r="M115" s="25">
        <f>+C115-H115</f>
        <v>0</v>
      </c>
      <c r="N115" s="25"/>
      <c r="O115" s="25">
        <f>+E115-J115</f>
        <v>0</v>
      </c>
      <c r="P115" s="26">
        <f>SUM(L115:O115)</f>
        <v>0</v>
      </c>
      <c r="Q115" s="18"/>
    </row>
    <row r="116" spans="1:17" ht="12.75" customHeight="1">
      <c r="A116" s="23" t="s">
        <v>21</v>
      </c>
      <c r="B116" s="29"/>
      <c r="C116" s="29"/>
      <c r="D116" s="29"/>
      <c r="E116" s="30"/>
      <c r="F116" s="24">
        <f>SUM(B116:E116)</f>
        <v>0</v>
      </c>
      <c r="G116" s="29"/>
      <c r="H116" s="29"/>
      <c r="I116" s="29"/>
      <c r="J116" s="29"/>
      <c r="K116" s="24">
        <f>SUM(G116:J116)</f>
        <v>0</v>
      </c>
      <c r="L116" s="25">
        <f>+B116-G116</f>
        <v>0</v>
      </c>
      <c r="M116" s="25">
        <f>+C116-H116</f>
        <v>0</v>
      </c>
      <c r="N116" s="25"/>
      <c r="O116" s="25">
        <f>+E116-J116</f>
        <v>0</v>
      </c>
      <c r="P116" s="26">
        <f>SUM(L116:O116)</f>
        <v>0</v>
      </c>
      <c r="Q116" s="18"/>
    </row>
    <row r="117" spans="1:17" ht="12.75" customHeight="1">
      <c r="A117" s="65"/>
      <c r="B117" s="44"/>
      <c r="C117" s="44"/>
      <c r="D117" s="44"/>
      <c r="E117" s="45"/>
      <c r="F117" s="77"/>
      <c r="G117" s="84"/>
      <c r="H117" s="84"/>
      <c r="I117" s="84"/>
      <c r="J117" s="84"/>
      <c r="K117" s="82"/>
      <c r="L117" s="44"/>
      <c r="M117" s="44"/>
      <c r="N117" s="44"/>
      <c r="O117" s="44"/>
      <c r="P117" s="75"/>
      <c r="Q117" s="76"/>
    </row>
    <row r="118" spans="1:17">
      <c r="A118" s="80"/>
    </row>
    <row r="119" spans="1:17">
      <c r="A119" s="80" t="s">
        <v>355</v>
      </c>
    </row>
    <row r="120" spans="1:17">
      <c r="A120" s="80"/>
    </row>
    <row r="121" spans="1:17">
      <c r="A121" s="80"/>
    </row>
    <row r="122" spans="1:17">
      <c r="A122" s="80"/>
    </row>
    <row r="123" spans="1:17">
      <c r="A123" s="80"/>
    </row>
    <row r="124" spans="1:17">
      <c r="A124" s="80"/>
    </row>
    <row r="125" spans="1:17">
      <c r="A125" s="80"/>
    </row>
    <row r="126" spans="1:17">
      <c r="A126" s="80"/>
    </row>
    <row r="127" spans="1:17">
      <c r="A127" s="80"/>
    </row>
    <row r="128" spans="1:17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  <row r="1128" spans="1:1">
      <c r="A1128" s="80"/>
    </row>
    <row r="1129" spans="1:1">
      <c r="A1129" s="80"/>
    </row>
    <row r="1130" spans="1:1">
      <c r="A1130" s="80"/>
    </row>
    <row r="1131" spans="1:1">
      <c r="A1131" s="80"/>
    </row>
    <row r="1132" spans="1:1">
      <c r="A1132" s="80"/>
    </row>
    <row r="1133" spans="1:1">
      <c r="A1133" s="80"/>
    </row>
    <row r="1134" spans="1:1">
      <c r="A1134" s="80"/>
    </row>
    <row r="1135" spans="1:1">
      <c r="A1135" s="80"/>
    </row>
    <row r="1136" spans="1:1">
      <c r="A1136" s="80"/>
    </row>
    <row r="1137" spans="1:1">
      <c r="A1137" s="80"/>
    </row>
    <row r="1138" spans="1:1">
      <c r="A1138" s="80"/>
    </row>
    <row r="1139" spans="1:1">
      <c r="A1139" s="80"/>
    </row>
    <row r="1140" spans="1:1">
      <c r="A1140" s="80"/>
    </row>
    <row r="1141" spans="1:1">
      <c r="A1141" s="80"/>
    </row>
    <row r="1142" spans="1:1">
      <c r="A1142" s="80"/>
    </row>
    <row r="1143" spans="1:1">
      <c r="A1143" s="80"/>
    </row>
    <row r="1144" spans="1:1">
      <c r="A1144" s="80"/>
    </row>
    <row r="1145" spans="1:1">
      <c r="A1145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1" fitToHeight="15" orientation="landscape" r:id="rId1"/>
  <headerFooter alignWithMargins="0">
    <oddFooter>Page &amp;P of &amp;N</oddFooter>
  </headerFooter>
  <rowBreaks count="2" manualBreakCount="2">
    <brk id="54" max="16" man="1"/>
    <brk id="99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98"/>
  <sheetViews>
    <sheetView showRuler="0" zoomScaleSheetLayoutView="100" workbookViewId="0">
      <pane xSplit="1" ySplit="8" topLeftCell="B9" activePane="bottomRight" state="frozen"/>
      <selection activeCell="A1459" sqref="A1459"/>
      <selection pane="topRight" activeCell="A1459" sqref="A1459"/>
      <selection pane="bottomLeft" activeCell="A1459" sqref="A1459"/>
      <selection pane="bottomRight" activeCell="E30" sqref="E30"/>
    </sheetView>
  </sheetViews>
  <sheetFormatPr defaultRowHeight="12.75"/>
  <cols>
    <col min="1" max="1" width="35.57031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69</v>
      </c>
      <c r="B10" s="17">
        <f t="shared" ref="B10:P10" si="0">+B11+B15</f>
        <v>6338213</v>
      </c>
      <c r="C10" s="17">
        <f t="shared" si="0"/>
        <v>7546115</v>
      </c>
      <c r="D10" s="17">
        <f t="shared" si="0"/>
        <v>14884</v>
      </c>
      <c r="E10" s="17">
        <f t="shared" si="0"/>
        <v>810810</v>
      </c>
      <c r="F10" s="17">
        <f t="shared" si="0"/>
        <v>14710022</v>
      </c>
      <c r="G10" s="17">
        <f t="shared" si="0"/>
        <v>6251210</v>
      </c>
      <c r="H10" s="17">
        <f t="shared" si="0"/>
        <v>6545296</v>
      </c>
      <c r="I10" s="17">
        <f t="shared" si="0"/>
        <v>14884</v>
      </c>
      <c r="J10" s="17">
        <f t="shared" si="0"/>
        <v>562822</v>
      </c>
      <c r="K10" s="17">
        <f t="shared" si="0"/>
        <v>13374212</v>
      </c>
      <c r="L10" s="17">
        <f t="shared" si="0"/>
        <v>87003</v>
      </c>
      <c r="M10" s="17">
        <f t="shared" si="0"/>
        <v>1000819</v>
      </c>
      <c r="N10" s="17">
        <f>+N11+N15</f>
        <v>0</v>
      </c>
      <c r="O10" s="17">
        <f t="shared" si="0"/>
        <v>247988</v>
      </c>
      <c r="P10" s="17">
        <f t="shared" si="0"/>
        <v>1335810</v>
      </c>
      <c r="Q10" s="18">
        <f>+K10/F10</f>
        <v>0.90919048251593371</v>
      </c>
    </row>
    <row r="11" spans="1:18" ht="12.75" customHeight="1">
      <c r="A11" s="41" t="s">
        <v>15</v>
      </c>
      <c r="B11" s="20">
        <f t="shared" ref="B11:P11" si="1">+B12+B13+B14</f>
        <v>6338213</v>
      </c>
      <c r="C11" s="20">
        <f t="shared" si="1"/>
        <v>6653064</v>
      </c>
      <c r="D11" s="20">
        <f t="shared" si="1"/>
        <v>14884</v>
      </c>
      <c r="E11" s="20">
        <f t="shared" si="1"/>
        <v>704314</v>
      </c>
      <c r="F11" s="20">
        <f t="shared" si="1"/>
        <v>13710475</v>
      </c>
      <c r="G11" s="20">
        <f t="shared" si="1"/>
        <v>6251210</v>
      </c>
      <c r="H11" s="20">
        <f t="shared" si="1"/>
        <v>5719434</v>
      </c>
      <c r="I11" s="20">
        <f t="shared" si="1"/>
        <v>14884</v>
      </c>
      <c r="J11" s="20">
        <f t="shared" si="1"/>
        <v>457075</v>
      </c>
      <c r="K11" s="20">
        <f t="shared" si="1"/>
        <v>12442603</v>
      </c>
      <c r="L11" s="20">
        <f t="shared" si="1"/>
        <v>87003</v>
      </c>
      <c r="M11" s="20">
        <f t="shared" si="1"/>
        <v>933630</v>
      </c>
      <c r="N11" s="20">
        <f>+N12+N13+N14</f>
        <v>0</v>
      </c>
      <c r="O11" s="20">
        <f t="shared" si="1"/>
        <v>247239</v>
      </c>
      <c r="P11" s="21">
        <f t="shared" si="1"/>
        <v>1267872</v>
      </c>
      <c r="Q11" s="18"/>
    </row>
    <row r="12" spans="1:18" ht="12.75" customHeight="1">
      <c r="A12" s="22" t="s">
        <v>16</v>
      </c>
      <c r="B12" s="23">
        <f t="shared" ref="B12:E14" si="2">+B21+B30+B39+B48</f>
        <v>5604561</v>
      </c>
      <c r="C12" s="23">
        <f t="shared" si="2"/>
        <v>5328277</v>
      </c>
      <c r="D12" s="23">
        <f t="shared" si="2"/>
        <v>14884</v>
      </c>
      <c r="E12" s="23">
        <f t="shared" si="2"/>
        <v>704314</v>
      </c>
      <c r="F12" s="24">
        <f>SUM(B12:E12)</f>
        <v>11652036</v>
      </c>
      <c r="G12" s="23">
        <f t="shared" ref="G12:J14" si="3">+G21+G30+G39+G48</f>
        <v>5518326</v>
      </c>
      <c r="H12" s="23">
        <f t="shared" si="3"/>
        <v>4442007</v>
      </c>
      <c r="I12" s="23">
        <f t="shared" si="3"/>
        <v>14884</v>
      </c>
      <c r="J12" s="23">
        <f t="shared" si="3"/>
        <v>457075</v>
      </c>
      <c r="K12" s="24">
        <f>SUM(G12:J12)</f>
        <v>10432292</v>
      </c>
      <c r="L12" s="25">
        <f t="shared" ref="L12:O14" si="4">+B12-G12</f>
        <v>86235</v>
      </c>
      <c r="M12" s="25">
        <f t="shared" si="4"/>
        <v>886270</v>
      </c>
      <c r="N12" s="25">
        <f>+D12-I12</f>
        <v>0</v>
      </c>
      <c r="O12" s="25">
        <f t="shared" si="4"/>
        <v>247239</v>
      </c>
      <c r="P12" s="26">
        <f>SUM(L12:O12)</f>
        <v>1219744</v>
      </c>
      <c r="Q12" s="18"/>
    </row>
    <row r="13" spans="1:18" ht="12.75" customHeight="1">
      <c r="A13" s="22" t="s">
        <v>17</v>
      </c>
      <c r="B13" s="23">
        <f t="shared" si="2"/>
        <v>636318</v>
      </c>
      <c r="C13" s="23">
        <f t="shared" si="2"/>
        <v>1324787</v>
      </c>
      <c r="D13" s="23">
        <f t="shared" si="2"/>
        <v>0</v>
      </c>
      <c r="E13" s="23">
        <f t="shared" si="2"/>
        <v>0</v>
      </c>
      <c r="F13" s="24">
        <f>SUM(B13:E13)</f>
        <v>1961105</v>
      </c>
      <c r="G13" s="23">
        <f t="shared" si="3"/>
        <v>635600</v>
      </c>
      <c r="H13" s="23">
        <f t="shared" si="3"/>
        <v>1277427</v>
      </c>
      <c r="I13" s="23">
        <f t="shared" si="3"/>
        <v>0</v>
      </c>
      <c r="J13" s="23">
        <f t="shared" si="3"/>
        <v>0</v>
      </c>
      <c r="K13" s="24">
        <f>SUM(G13:J13)</f>
        <v>1913027</v>
      </c>
      <c r="L13" s="25">
        <f t="shared" si="4"/>
        <v>718</v>
      </c>
      <c r="M13" s="25">
        <f t="shared" si="4"/>
        <v>47360</v>
      </c>
      <c r="N13" s="25">
        <f t="shared" si="4"/>
        <v>0</v>
      </c>
      <c r="O13" s="25">
        <f t="shared" si="4"/>
        <v>0</v>
      </c>
      <c r="P13" s="26">
        <f>SUM(L13:O13)</f>
        <v>48078</v>
      </c>
      <c r="Q13" s="18"/>
    </row>
    <row r="14" spans="1:18" ht="12.75" customHeight="1">
      <c r="A14" s="22" t="s">
        <v>18</v>
      </c>
      <c r="B14" s="23">
        <f t="shared" si="2"/>
        <v>97334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4">
        <f>SUM(B14:E14)</f>
        <v>97334</v>
      </c>
      <c r="G14" s="23">
        <f t="shared" si="3"/>
        <v>97284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4">
        <f>SUM(G14:J14)</f>
        <v>97284</v>
      </c>
      <c r="L14" s="25">
        <f t="shared" si="4"/>
        <v>50</v>
      </c>
      <c r="M14" s="25">
        <f t="shared" si="4"/>
        <v>0</v>
      </c>
      <c r="N14" s="25">
        <f t="shared" si="4"/>
        <v>0</v>
      </c>
      <c r="O14" s="25">
        <f t="shared" si="4"/>
        <v>0</v>
      </c>
      <c r="P14" s="26">
        <f>SUM(L14:O14)</f>
        <v>50</v>
      </c>
      <c r="Q14" s="18"/>
    </row>
    <row r="15" spans="1:18" ht="12.75" customHeight="1">
      <c r="A15" s="22" t="s">
        <v>19</v>
      </c>
      <c r="B15" s="44">
        <f t="shared" ref="B15:P15" si="5">+B16+B17</f>
        <v>0</v>
      </c>
      <c r="C15" s="44">
        <f t="shared" si="5"/>
        <v>893051</v>
      </c>
      <c r="D15" s="44">
        <f t="shared" si="5"/>
        <v>0</v>
      </c>
      <c r="E15" s="45">
        <f t="shared" si="5"/>
        <v>106496</v>
      </c>
      <c r="F15" s="44">
        <f t="shared" si="5"/>
        <v>999547</v>
      </c>
      <c r="G15" s="44">
        <f t="shared" si="5"/>
        <v>0</v>
      </c>
      <c r="H15" s="44">
        <f t="shared" si="5"/>
        <v>825862</v>
      </c>
      <c r="I15" s="44">
        <f t="shared" si="5"/>
        <v>0</v>
      </c>
      <c r="J15" s="45">
        <f t="shared" si="5"/>
        <v>105747</v>
      </c>
      <c r="K15" s="44">
        <f t="shared" si="5"/>
        <v>931609</v>
      </c>
      <c r="L15" s="44">
        <f t="shared" si="5"/>
        <v>0</v>
      </c>
      <c r="M15" s="44">
        <f t="shared" si="5"/>
        <v>67189</v>
      </c>
      <c r="N15" s="44">
        <f t="shared" si="5"/>
        <v>0</v>
      </c>
      <c r="O15" s="44">
        <f t="shared" si="5"/>
        <v>749</v>
      </c>
      <c r="P15" s="45">
        <f t="shared" si="5"/>
        <v>67938</v>
      </c>
      <c r="Q15" s="18"/>
    </row>
    <row r="16" spans="1:18" ht="12.75" customHeight="1">
      <c r="A16" s="23" t="s">
        <v>20</v>
      </c>
      <c r="B16" s="23">
        <f t="shared" ref="B16:E17" si="6">+B25+B34+B43+B52</f>
        <v>0</v>
      </c>
      <c r="C16" s="23">
        <f t="shared" si="6"/>
        <v>743051</v>
      </c>
      <c r="D16" s="23">
        <f t="shared" si="6"/>
        <v>0</v>
      </c>
      <c r="E16" s="23">
        <f t="shared" si="6"/>
        <v>106496</v>
      </c>
      <c r="F16" s="24">
        <f>SUM(B16:E16)</f>
        <v>849547</v>
      </c>
      <c r="G16" s="23">
        <f t="shared" ref="G16:J17" si="7">+G25+G34+G43+G52</f>
        <v>0</v>
      </c>
      <c r="H16" s="23">
        <f t="shared" si="7"/>
        <v>698343</v>
      </c>
      <c r="I16" s="23">
        <f t="shared" si="7"/>
        <v>0</v>
      </c>
      <c r="J16" s="23">
        <f t="shared" si="7"/>
        <v>105747</v>
      </c>
      <c r="K16" s="24">
        <f>SUM(G16:J16)</f>
        <v>804090</v>
      </c>
      <c r="L16" s="25">
        <f t="shared" ref="L16:O17" si="8">+B16-G16</f>
        <v>0</v>
      </c>
      <c r="M16" s="25">
        <f t="shared" si="8"/>
        <v>44708</v>
      </c>
      <c r="N16" s="25">
        <f t="shared" si="8"/>
        <v>0</v>
      </c>
      <c r="O16" s="25">
        <f t="shared" si="8"/>
        <v>749</v>
      </c>
      <c r="P16" s="26">
        <f>SUM(L16:O16)</f>
        <v>45457</v>
      </c>
      <c r="Q16" s="18"/>
    </row>
    <row r="17" spans="1:17" ht="12.75" customHeight="1">
      <c r="A17" s="23" t="s">
        <v>21</v>
      </c>
      <c r="B17" s="23">
        <f t="shared" si="6"/>
        <v>0</v>
      </c>
      <c r="C17" s="23">
        <f t="shared" si="6"/>
        <v>150000</v>
      </c>
      <c r="D17" s="23">
        <f t="shared" si="6"/>
        <v>0</v>
      </c>
      <c r="E17" s="23">
        <f t="shared" si="6"/>
        <v>0</v>
      </c>
      <c r="F17" s="24">
        <f>SUM(B17:E17)</f>
        <v>150000</v>
      </c>
      <c r="G17" s="23">
        <f t="shared" si="7"/>
        <v>0</v>
      </c>
      <c r="H17" s="23">
        <f t="shared" si="7"/>
        <v>127519</v>
      </c>
      <c r="I17" s="23">
        <f t="shared" si="7"/>
        <v>0</v>
      </c>
      <c r="J17" s="23">
        <f t="shared" si="7"/>
        <v>0</v>
      </c>
      <c r="K17" s="24">
        <f>SUM(G17:J17)</f>
        <v>127519</v>
      </c>
      <c r="L17" s="25">
        <f t="shared" si="8"/>
        <v>0</v>
      </c>
      <c r="M17" s="25">
        <f t="shared" si="8"/>
        <v>22481</v>
      </c>
      <c r="N17" s="25">
        <f t="shared" si="8"/>
        <v>0</v>
      </c>
      <c r="O17" s="25">
        <f t="shared" si="8"/>
        <v>0</v>
      </c>
      <c r="P17" s="26">
        <f>SUM(L17:O17)</f>
        <v>22481</v>
      </c>
      <c r="Q17" s="18"/>
    </row>
    <row r="18" spans="1:17" ht="12.75" customHeight="1">
      <c r="A18" s="46"/>
      <c r="B18" s="24"/>
      <c r="C18" s="24"/>
      <c r="D18" s="24"/>
      <c r="E18" s="26"/>
      <c r="F18" s="24"/>
      <c r="G18" s="32"/>
      <c r="H18" s="32"/>
      <c r="I18" s="32"/>
      <c r="J18" s="32"/>
      <c r="K18" s="32"/>
      <c r="L18" s="24"/>
      <c r="M18" s="24"/>
      <c r="N18" s="24"/>
      <c r="O18" s="24"/>
      <c r="P18" s="26"/>
      <c r="Q18" s="18"/>
    </row>
    <row r="19" spans="1:17" ht="12.75" customHeight="1">
      <c r="A19" s="33" t="s">
        <v>31</v>
      </c>
      <c r="B19" s="17">
        <f t="shared" ref="B19:K19" si="9">+B20+B24</f>
        <v>6292601</v>
      </c>
      <c r="C19" s="17">
        <f t="shared" si="9"/>
        <v>7516013</v>
      </c>
      <c r="D19" s="17">
        <f t="shared" si="9"/>
        <v>14884</v>
      </c>
      <c r="E19" s="17">
        <f t="shared" si="9"/>
        <v>810734</v>
      </c>
      <c r="F19" s="17">
        <f t="shared" si="9"/>
        <v>14634232</v>
      </c>
      <c r="G19" s="17">
        <f t="shared" si="9"/>
        <v>6205859</v>
      </c>
      <c r="H19" s="17">
        <f t="shared" si="9"/>
        <v>6516509</v>
      </c>
      <c r="I19" s="17">
        <f t="shared" si="9"/>
        <v>14884</v>
      </c>
      <c r="J19" s="17">
        <f t="shared" si="9"/>
        <v>562758</v>
      </c>
      <c r="K19" s="17">
        <f t="shared" si="9"/>
        <v>13300010</v>
      </c>
      <c r="L19" s="17">
        <f>+L20+L24</f>
        <v>86742</v>
      </c>
      <c r="M19" s="17">
        <f>+M20+M24</f>
        <v>999504</v>
      </c>
      <c r="N19" s="17">
        <f>+N20+N24</f>
        <v>0</v>
      </c>
      <c r="O19" s="17">
        <f>+O20+O24</f>
        <v>247976</v>
      </c>
      <c r="P19" s="17">
        <f>+P20+P24</f>
        <v>1334222</v>
      </c>
      <c r="Q19" s="18">
        <f>+K19/F19</f>
        <v>0.90882869698936031</v>
      </c>
    </row>
    <row r="20" spans="1:17" ht="12.75" customHeight="1">
      <c r="A20" s="41" t="s">
        <v>15</v>
      </c>
      <c r="B20" s="20">
        <f t="shared" ref="B20:K20" si="10">+B21+B22+B23</f>
        <v>6292601</v>
      </c>
      <c r="C20" s="20">
        <f t="shared" si="10"/>
        <v>6626648</v>
      </c>
      <c r="D20" s="20">
        <f t="shared" si="10"/>
        <v>14884</v>
      </c>
      <c r="E20" s="20">
        <f t="shared" si="10"/>
        <v>704249</v>
      </c>
      <c r="F20" s="20">
        <f t="shared" si="10"/>
        <v>13638382</v>
      </c>
      <c r="G20" s="20">
        <f t="shared" si="10"/>
        <v>6205859</v>
      </c>
      <c r="H20" s="20">
        <f t="shared" si="10"/>
        <v>5694226</v>
      </c>
      <c r="I20" s="20">
        <f t="shared" si="10"/>
        <v>14884</v>
      </c>
      <c r="J20" s="20">
        <f t="shared" si="10"/>
        <v>457011</v>
      </c>
      <c r="K20" s="20">
        <f t="shared" si="10"/>
        <v>12371980</v>
      </c>
      <c r="L20" s="20">
        <f t="shared" ref="L20:P20" si="11">+L21+L22+L23</f>
        <v>86742</v>
      </c>
      <c r="M20" s="20">
        <f t="shared" si="11"/>
        <v>932422</v>
      </c>
      <c r="N20" s="20">
        <f t="shared" si="11"/>
        <v>0</v>
      </c>
      <c r="O20" s="20">
        <f t="shared" si="11"/>
        <v>247238</v>
      </c>
      <c r="P20" s="21">
        <f t="shared" si="11"/>
        <v>1266402</v>
      </c>
      <c r="Q20" s="18"/>
    </row>
    <row r="21" spans="1:17" ht="12.75" customHeight="1">
      <c r="A21" s="22" t="s">
        <v>16</v>
      </c>
      <c r="B21" s="29">
        <v>5566804</v>
      </c>
      <c r="C21" s="29">
        <v>5301861</v>
      </c>
      <c r="D21" s="29">
        <v>14884</v>
      </c>
      <c r="E21" s="30">
        <v>704249</v>
      </c>
      <c r="F21" s="24">
        <f>SUM(B21:E21)</f>
        <v>11587798</v>
      </c>
      <c r="G21" s="29">
        <f>5479964+816</f>
        <v>5480780</v>
      </c>
      <c r="H21" s="29">
        <v>4416799</v>
      </c>
      <c r="I21" s="29">
        <v>14884</v>
      </c>
      <c r="J21" s="29">
        <v>457011</v>
      </c>
      <c r="K21" s="24">
        <f>SUM(G21:J21)</f>
        <v>10369474</v>
      </c>
      <c r="L21" s="25">
        <f t="shared" ref="L21:N23" si="12">+B21-G21</f>
        <v>86024</v>
      </c>
      <c r="M21" s="25">
        <f t="shared" si="12"/>
        <v>885062</v>
      </c>
      <c r="N21" s="25">
        <f t="shared" si="12"/>
        <v>0</v>
      </c>
      <c r="O21" s="25">
        <f>+E21-J21</f>
        <v>247238</v>
      </c>
      <c r="P21" s="26">
        <f>SUM(L21:O21)</f>
        <v>1218324</v>
      </c>
      <c r="Q21" s="18"/>
    </row>
    <row r="22" spans="1:17" ht="12.75" customHeight="1">
      <c r="A22" s="22" t="s">
        <v>17</v>
      </c>
      <c r="B22" s="29">
        <v>631729</v>
      </c>
      <c r="C22" s="29">
        <v>1324787</v>
      </c>
      <c r="D22" s="29"/>
      <c r="E22" s="30"/>
      <c r="F22" s="24">
        <f>SUM(B22:E22)</f>
        <v>1956516</v>
      </c>
      <c r="G22" s="29">
        <v>631011</v>
      </c>
      <c r="H22" s="29">
        <v>1277427</v>
      </c>
      <c r="I22" s="29"/>
      <c r="J22" s="34"/>
      <c r="K22" s="24">
        <f>SUM(G22:J22)</f>
        <v>1908438</v>
      </c>
      <c r="L22" s="25">
        <f t="shared" si="12"/>
        <v>718</v>
      </c>
      <c r="M22" s="25">
        <f t="shared" si="12"/>
        <v>47360</v>
      </c>
      <c r="N22" s="25"/>
      <c r="O22" s="25">
        <f>+E22-J22</f>
        <v>0</v>
      </c>
      <c r="P22" s="26">
        <f>SUM(L22:O22)</f>
        <v>48078</v>
      </c>
      <c r="Q22" s="18"/>
    </row>
    <row r="23" spans="1:17" ht="12.75" customHeight="1">
      <c r="A23" s="22" t="s">
        <v>18</v>
      </c>
      <c r="B23" s="29">
        <v>94068</v>
      </c>
      <c r="C23" s="29"/>
      <c r="D23" s="29"/>
      <c r="E23" s="35"/>
      <c r="F23" s="24">
        <f>SUM(B23:E23)</f>
        <v>94068</v>
      </c>
      <c r="G23" s="29">
        <f>94884-816</f>
        <v>94068</v>
      </c>
      <c r="H23" s="34"/>
      <c r="I23" s="34"/>
      <c r="J23" s="34"/>
      <c r="K23" s="24">
        <f>SUM(G23:J23)</f>
        <v>94068</v>
      </c>
      <c r="L23" s="25">
        <f t="shared" si="12"/>
        <v>0</v>
      </c>
      <c r="M23" s="25">
        <f t="shared" si="12"/>
        <v>0</v>
      </c>
      <c r="N23" s="25"/>
      <c r="O23" s="25">
        <f>+E23-J23</f>
        <v>0</v>
      </c>
      <c r="P23" s="26">
        <f>SUM(L23:O23)</f>
        <v>0</v>
      </c>
      <c r="Q23" s="18"/>
    </row>
    <row r="24" spans="1:17" ht="12.75" customHeight="1">
      <c r="A24" s="22" t="s">
        <v>19</v>
      </c>
      <c r="B24" s="27">
        <f t="shared" ref="B24:K24" si="13">+B25+B26</f>
        <v>0</v>
      </c>
      <c r="C24" s="27">
        <f t="shared" si="13"/>
        <v>889365</v>
      </c>
      <c r="D24" s="27">
        <f t="shared" si="13"/>
        <v>0</v>
      </c>
      <c r="E24" s="27">
        <f t="shared" si="13"/>
        <v>106485</v>
      </c>
      <c r="F24" s="27">
        <f t="shared" si="13"/>
        <v>995850</v>
      </c>
      <c r="G24" s="27">
        <f t="shared" si="13"/>
        <v>0</v>
      </c>
      <c r="H24" s="27">
        <f t="shared" si="13"/>
        <v>822283</v>
      </c>
      <c r="I24" s="27">
        <f t="shared" si="13"/>
        <v>0</v>
      </c>
      <c r="J24" s="27">
        <f t="shared" si="13"/>
        <v>105747</v>
      </c>
      <c r="K24" s="27">
        <f t="shared" si="13"/>
        <v>928030</v>
      </c>
      <c r="L24" s="27">
        <f t="shared" ref="L24:P24" si="14">+L25+L26</f>
        <v>0</v>
      </c>
      <c r="M24" s="27">
        <f t="shared" si="14"/>
        <v>67082</v>
      </c>
      <c r="N24" s="27"/>
      <c r="O24" s="27">
        <f t="shared" si="14"/>
        <v>738</v>
      </c>
      <c r="P24" s="28">
        <f t="shared" si="14"/>
        <v>67820</v>
      </c>
      <c r="Q24" s="18"/>
    </row>
    <row r="25" spans="1:17" ht="12.75" customHeight="1">
      <c r="A25" s="23" t="s">
        <v>20</v>
      </c>
      <c r="B25" s="29"/>
      <c r="C25" s="29">
        <v>739365</v>
      </c>
      <c r="D25" s="29"/>
      <c r="E25" s="30">
        <v>106485</v>
      </c>
      <c r="F25" s="24">
        <f>SUM(B25:E25)</f>
        <v>845850</v>
      </c>
      <c r="G25" s="29"/>
      <c r="H25" s="29">
        <v>694764</v>
      </c>
      <c r="I25" s="29"/>
      <c r="J25" s="29">
        <v>105747</v>
      </c>
      <c r="K25" s="24">
        <f>SUM(G25:J25)</f>
        <v>800511</v>
      </c>
      <c r="L25" s="25">
        <f>+B25-G25</f>
        <v>0</v>
      </c>
      <c r="M25" s="25">
        <f>+C25-H25</f>
        <v>44601</v>
      </c>
      <c r="N25" s="25"/>
      <c r="O25" s="25">
        <f>+E25-J25</f>
        <v>738</v>
      </c>
      <c r="P25" s="26">
        <f>SUM(L25:O25)</f>
        <v>45339</v>
      </c>
      <c r="Q25" s="18"/>
    </row>
    <row r="26" spans="1:17" ht="12.75" customHeight="1">
      <c r="A26" s="23" t="s">
        <v>21</v>
      </c>
      <c r="B26" s="29"/>
      <c r="C26" s="29">
        <v>150000</v>
      </c>
      <c r="D26" s="29"/>
      <c r="E26" s="30"/>
      <c r="F26" s="24">
        <f>SUM(B26:E26)</f>
        <v>150000</v>
      </c>
      <c r="G26" s="29"/>
      <c r="H26" s="29">
        <v>127519</v>
      </c>
      <c r="I26" s="29"/>
      <c r="J26" s="29"/>
      <c r="K26" s="24">
        <f>SUM(G26:J26)</f>
        <v>127519</v>
      </c>
      <c r="L26" s="25">
        <f>+B26-G26</f>
        <v>0</v>
      </c>
      <c r="M26" s="25">
        <f>+C26-H26</f>
        <v>22481</v>
      </c>
      <c r="N26" s="25"/>
      <c r="O26" s="25">
        <f>+E26-J26</f>
        <v>0</v>
      </c>
      <c r="P26" s="26">
        <f>SUM(L26:O26)</f>
        <v>22481</v>
      </c>
      <c r="Q26" s="18"/>
    </row>
    <row r="27" spans="1:17" ht="12.75" customHeight="1">
      <c r="A27" s="33"/>
      <c r="B27" s="24"/>
      <c r="C27" s="24"/>
      <c r="D27" s="24"/>
      <c r="E27" s="26"/>
      <c r="F27" s="24"/>
      <c r="G27" s="32"/>
      <c r="H27" s="32"/>
      <c r="I27" s="32"/>
      <c r="J27" s="32"/>
      <c r="K27" s="32"/>
      <c r="L27" s="24"/>
      <c r="M27" s="24"/>
      <c r="N27" s="24"/>
      <c r="O27" s="24"/>
      <c r="P27" s="26"/>
      <c r="Q27" s="18"/>
    </row>
    <row r="28" spans="1:17" ht="12.75" customHeight="1">
      <c r="A28" s="33" t="s">
        <v>70</v>
      </c>
      <c r="B28" s="17">
        <f t="shared" ref="B28:K28" si="15">+B29+B33</f>
        <v>39114</v>
      </c>
      <c r="C28" s="17">
        <f t="shared" si="15"/>
        <v>13193</v>
      </c>
      <c r="D28" s="17">
        <f t="shared" si="15"/>
        <v>0</v>
      </c>
      <c r="E28" s="17">
        <f t="shared" si="15"/>
        <v>11</v>
      </c>
      <c r="F28" s="17">
        <f t="shared" si="15"/>
        <v>52318</v>
      </c>
      <c r="G28" s="17">
        <f t="shared" si="15"/>
        <v>39114</v>
      </c>
      <c r="H28" s="17">
        <f t="shared" si="15"/>
        <v>12128</v>
      </c>
      <c r="I28" s="17">
        <f t="shared" si="15"/>
        <v>0</v>
      </c>
      <c r="J28" s="17">
        <f t="shared" si="15"/>
        <v>0</v>
      </c>
      <c r="K28" s="17">
        <f t="shared" si="15"/>
        <v>51242</v>
      </c>
      <c r="L28" s="17">
        <f>+L29+L33</f>
        <v>0</v>
      </c>
      <c r="M28" s="17">
        <f>+M29+M33</f>
        <v>1065</v>
      </c>
      <c r="N28" s="17"/>
      <c r="O28" s="17">
        <f>+O29+O33</f>
        <v>11</v>
      </c>
      <c r="P28" s="17">
        <f>+P29+P33</f>
        <v>1076</v>
      </c>
      <c r="Q28" s="18">
        <f>+K28/F28</f>
        <v>0.97943346458197944</v>
      </c>
    </row>
    <row r="29" spans="1:17" ht="12.75" customHeight="1">
      <c r="A29" s="41" t="s">
        <v>15</v>
      </c>
      <c r="B29" s="20">
        <f t="shared" ref="B29:K29" si="16">+B30+B31+B32</f>
        <v>39114</v>
      </c>
      <c r="C29" s="20">
        <f t="shared" si="16"/>
        <v>12114</v>
      </c>
      <c r="D29" s="20">
        <f t="shared" si="16"/>
        <v>0</v>
      </c>
      <c r="E29" s="20">
        <f t="shared" si="16"/>
        <v>0</v>
      </c>
      <c r="F29" s="20">
        <f t="shared" si="16"/>
        <v>51228</v>
      </c>
      <c r="G29" s="20">
        <f t="shared" si="16"/>
        <v>39114</v>
      </c>
      <c r="H29" s="20">
        <f t="shared" si="16"/>
        <v>11076</v>
      </c>
      <c r="I29" s="20">
        <f t="shared" si="16"/>
        <v>0</v>
      </c>
      <c r="J29" s="20">
        <f t="shared" si="16"/>
        <v>0</v>
      </c>
      <c r="K29" s="20">
        <f t="shared" si="16"/>
        <v>50190</v>
      </c>
      <c r="L29" s="20">
        <f>+L30+L31+L32</f>
        <v>0</v>
      </c>
      <c r="M29" s="20">
        <f>+M30+M31+M32</f>
        <v>1038</v>
      </c>
      <c r="N29" s="20"/>
      <c r="O29" s="20">
        <f>+O30+O31+O32</f>
        <v>0</v>
      </c>
      <c r="P29" s="21">
        <f>+P30+P31+P32</f>
        <v>1038</v>
      </c>
      <c r="Q29" s="18"/>
    </row>
    <row r="30" spans="1:17" ht="12.75" customHeight="1">
      <c r="A30" s="22" t="s">
        <v>16</v>
      </c>
      <c r="B30" s="29">
        <v>31830</v>
      </c>
      <c r="C30" s="29">
        <v>12114</v>
      </c>
      <c r="D30" s="29"/>
      <c r="E30" s="30"/>
      <c r="F30" s="24">
        <f>SUM(B30:E30)</f>
        <v>43944</v>
      </c>
      <c r="G30" s="29">
        <f>33270-417-1023</f>
        <v>31830</v>
      </c>
      <c r="H30" s="29">
        <v>11076</v>
      </c>
      <c r="I30" s="29"/>
      <c r="J30" s="29">
        <v>0</v>
      </c>
      <c r="K30" s="24">
        <f>SUM(G30:J30)</f>
        <v>42906</v>
      </c>
      <c r="L30" s="25">
        <f t="shared" ref="L30:M32" si="17">+B30-G30</f>
        <v>0</v>
      </c>
      <c r="M30" s="25">
        <f t="shared" si="17"/>
        <v>1038</v>
      </c>
      <c r="N30" s="25"/>
      <c r="O30" s="25">
        <f>+E30-J30</f>
        <v>0</v>
      </c>
      <c r="P30" s="26">
        <f>SUM(L30:O30)</f>
        <v>1038</v>
      </c>
      <c r="Q30" s="18"/>
    </row>
    <row r="31" spans="1:17" ht="12.75" customHeight="1">
      <c r="A31" s="22" t="s">
        <v>17</v>
      </c>
      <c r="B31" s="29">
        <v>4416</v>
      </c>
      <c r="C31" s="34"/>
      <c r="D31" s="34"/>
      <c r="E31" s="30"/>
      <c r="F31" s="24">
        <f>SUM(B31:E31)</f>
        <v>4416</v>
      </c>
      <c r="G31" s="29">
        <f>2089+887+417+1023</f>
        <v>4416</v>
      </c>
      <c r="H31" s="34"/>
      <c r="I31" s="34"/>
      <c r="J31" s="34"/>
      <c r="K31" s="24">
        <f>SUM(G31:J31)</f>
        <v>4416</v>
      </c>
      <c r="L31" s="25">
        <f t="shared" si="17"/>
        <v>0</v>
      </c>
      <c r="M31" s="25">
        <f t="shared" si="17"/>
        <v>0</v>
      </c>
      <c r="N31" s="25"/>
      <c r="O31" s="25">
        <f>+E31-J31</f>
        <v>0</v>
      </c>
      <c r="P31" s="26">
        <f>SUM(L31:O31)</f>
        <v>0</v>
      </c>
      <c r="Q31" s="18"/>
    </row>
    <row r="32" spans="1:17" ht="12.75" customHeight="1">
      <c r="A32" s="22" t="s">
        <v>18</v>
      </c>
      <c r="B32" s="29">
        <v>2868</v>
      </c>
      <c r="C32" s="34"/>
      <c r="D32" s="34"/>
      <c r="E32" s="30"/>
      <c r="F32" s="24">
        <f>SUM(B32:E32)</f>
        <v>2868</v>
      </c>
      <c r="G32" s="29">
        <v>2868</v>
      </c>
      <c r="H32" s="34"/>
      <c r="I32" s="34"/>
      <c r="J32" s="29"/>
      <c r="K32" s="24">
        <f>SUM(G32:J32)</f>
        <v>2868</v>
      </c>
      <c r="L32" s="25">
        <f t="shared" si="17"/>
        <v>0</v>
      </c>
      <c r="M32" s="25">
        <f t="shared" si="17"/>
        <v>0</v>
      </c>
      <c r="N32" s="25"/>
      <c r="O32" s="25">
        <f>+E32-J32</f>
        <v>0</v>
      </c>
      <c r="P32" s="26">
        <f>SUM(L32:O32)</f>
        <v>0</v>
      </c>
      <c r="Q32" s="18"/>
    </row>
    <row r="33" spans="1:17" ht="12.75" customHeight="1">
      <c r="A33" s="22" t="s">
        <v>19</v>
      </c>
      <c r="B33" s="27">
        <f t="shared" ref="B33:K33" si="18">+B34+B35</f>
        <v>0</v>
      </c>
      <c r="C33" s="27">
        <f t="shared" si="18"/>
        <v>1079</v>
      </c>
      <c r="D33" s="27">
        <f t="shared" si="18"/>
        <v>0</v>
      </c>
      <c r="E33" s="27">
        <f t="shared" si="18"/>
        <v>11</v>
      </c>
      <c r="F33" s="27">
        <f t="shared" si="18"/>
        <v>1090</v>
      </c>
      <c r="G33" s="27">
        <f t="shared" si="18"/>
        <v>0</v>
      </c>
      <c r="H33" s="27">
        <f t="shared" si="18"/>
        <v>1052</v>
      </c>
      <c r="I33" s="27">
        <f t="shared" si="18"/>
        <v>0</v>
      </c>
      <c r="J33" s="27">
        <f t="shared" si="18"/>
        <v>0</v>
      </c>
      <c r="K33" s="27">
        <f t="shared" si="18"/>
        <v>1052</v>
      </c>
      <c r="L33" s="27">
        <f t="shared" ref="L33:P33" si="19">+L34+L35</f>
        <v>0</v>
      </c>
      <c r="M33" s="27">
        <f t="shared" si="19"/>
        <v>27</v>
      </c>
      <c r="N33" s="27"/>
      <c r="O33" s="27">
        <f t="shared" si="19"/>
        <v>11</v>
      </c>
      <c r="P33" s="28">
        <f t="shared" si="19"/>
        <v>38</v>
      </c>
      <c r="Q33" s="18"/>
    </row>
    <row r="34" spans="1:17" ht="12.75" customHeight="1">
      <c r="A34" s="23" t="s">
        <v>20</v>
      </c>
      <c r="B34" s="29"/>
      <c r="C34" s="29">
        <v>1079</v>
      </c>
      <c r="D34" s="29"/>
      <c r="E34" s="30">
        <v>11</v>
      </c>
      <c r="F34" s="24">
        <f>SUM(B34:E34)</f>
        <v>1090</v>
      </c>
      <c r="G34" s="29"/>
      <c r="H34" s="29">
        <v>1052</v>
      </c>
      <c r="I34" s="29"/>
      <c r="J34" s="29"/>
      <c r="K34" s="24">
        <f>SUM(G34:J34)</f>
        <v>1052</v>
      </c>
      <c r="L34" s="25">
        <f>+B34-G34</f>
        <v>0</v>
      </c>
      <c r="M34" s="25">
        <f>+C34-H34</f>
        <v>27</v>
      </c>
      <c r="N34" s="25"/>
      <c r="O34" s="25">
        <f>+E34-J34</f>
        <v>11</v>
      </c>
      <c r="P34" s="26">
        <f>SUM(L34:O34)</f>
        <v>38</v>
      </c>
      <c r="Q34" s="18"/>
    </row>
    <row r="35" spans="1:17" ht="12.75" customHeight="1">
      <c r="A35" s="23" t="s">
        <v>21</v>
      </c>
      <c r="B35" s="29"/>
      <c r="C35" s="29"/>
      <c r="D35" s="29"/>
      <c r="E35" s="30"/>
      <c r="F35" s="24">
        <f>SUM(B35:E35)</f>
        <v>0</v>
      </c>
      <c r="G35" s="29"/>
      <c r="H35" s="29"/>
      <c r="I35" s="29"/>
      <c r="J35" s="29"/>
      <c r="K35" s="24">
        <f>SUM(G35:J35)</f>
        <v>0</v>
      </c>
      <c r="L35" s="25">
        <f>+B35-G35</f>
        <v>0</v>
      </c>
      <c r="M35" s="25">
        <f>+C35-H35</f>
        <v>0</v>
      </c>
      <c r="N35" s="25"/>
      <c r="O35" s="25">
        <f>+E35-J35</f>
        <v>0</v>
      </c>
      <c r="P35" s="26">
        <f>SUM(L35:O35)</f>
        <v>0</v>
      </c>
      <c r="Q35" s="18"/>
    </row>
    <row r="36" spans="1:17" ht="12.75" customHeight="1">
      <c r="A36" s="33"/>
      <c r="B36" s="24"/>
      <c r="C36" s="24"/>
      <c r="D36" s="24"/>
      <c r="E36" s="26"/>
      <c r="F36" s="24"/>
      <c r="G36" s="32"/>
      <c r="H36" s="32"/>
      <c r="I36" s="32"/>
      <c r="J36" s="32"/>
      <c r="K36" s="32"/>
      <c r="L36" s="24"/>
      <c r="M36" s="24"/>
      <c r="N36" s="24"/>
      <c r="O36" s="24"/>
      <c r="P36" s="26"/>
      <c r="Q36" s="18"/>
    </row>
    <row r="37" spans="1:17" ht="12.75" customHeight="1">
      <c r="A37" s="215" t="s">
        <v>71</v>
      </c>
      <c r="B37" s="17">
        <f t="shared" ref="B37:K37" si="20">+B38+B42</f>
        <v>1219</v>
      </c>
      <c r="C37" s="17">
        <f t="shared" si="20"/>
        <v>3254</v>
      </c>
      <c r="D37" s="17">
        <f t="shared" si="20"/>
        <v>0</v>
      </c>
      <c r="E37" s="17">
        <f t="shared" si="20"/>
        <v>65</v>
      </c>
      <c r="F37" s="17">
        <f t="shared" si="20"/>
        <v>4538</v>
      </c>
      <c r="G37" s="17">
        <f t="shared" si="20"/>
        <v>1037</v>
      </c>
      <c r="H37" s="17">
        <f t="shared" si="20"/>
        <v>3004</v>
      </c>
      <c r="I37" s="17">
        <f t="shared" si="20"/>
        <v>0</v>
      </c>
      <c r="J37" s="17">
        <f t="shared" si="20"/>
        <v>64</v>
      </c>
      <c r="K37" s="17">
        <f t="shared" si="20"/>
        <v>4105</v>
      </c>
      <c r="L37" s="17">
        <f>+L38+L42</f>
        <v>182</v>
      </c>
      <c r="M37" s="17">
        <f>+M38+M42</f>
        <v>250</v>
      </c>
      <c r="N37" s="17"/>
      <c r="O37" s="17">
        <f>+O38+O42</f>
        <v>1</v>
      </c>
      <c r="P37" s="17">
        <f>+P38+P42</f>
        <v>433</v>
      </c>
      <c r="Q37" s="18">
        <f>+K37/F37</f>
        <v>0.90458351696782724</v>
      </c>
    </row>
    <row r="38" spans="1:17" ht="12.75" customHeight="1">
      <c r="A38" s="41" t="s">
        <v>15</v>
      </c>
      <c r="B38" s="20">
        <f t="shared" ref="B38:K38" si="21">+B39+B40+B41</f>
        <v>1219</v>
      </c>
      <c r="C38" s="20">
        <f t="shared" si="21"/>
        <v>3174</v>
      </c>
      <c r="D38" s="20">
        <f t="shared" si="21"/>
        <v>0</v>
      </c>
      <c r="E38" s="20">
        <f t="shared" si="21"/>
        <v>65</v>
      </c>
      <c r="F38" s="20">
        <f t="shared" si="21"/>
        <v>4458</v>
      </c>
      <c r="G38" s="20">
        <f t="shared" si="21"/>
        <v>1037</v>
      </c>
      <c r="H38" s="20">
        <f t="shared" si="21"/>
        <v>3004</v>
      </c>
      <c r="I38" s="20">
        <f t="shared" si="21"/>
        <v>0</v>
      </c>
      <c r="J38" s="20">
        <f t="shared" si="21"/>
        <v>64</v>
      </c>
      <c r="K38" s="20">
        <f t="shared" si="21"/>
        <v>4105</v>
      </c>
      <c r="L38" s="20">
        <f>+L39+L40+L41</f>
        <v>182</v>
      </c>
      <c r="M38" s="20">
        <f>+M39+M40+M41</f>
        <v>170</v>
      </c>
      <c r="N38" s="20"/>
      <c r="O38" s="20">
        <f>+O39+O40+O41</f>
        <v>1</v>
      </c>
      <c r="P38" s="21">
        <f>+P39+P40+P41</f>
        <v>353</v>
      </c>
      <c r="Q38" s="18"/>
    </row>
    <row r="39" spans="1:17" ht="12.75" customHeight="1">
      <c r="A39" s="22" t="s">
        <v>16</v>
      </c>
      <c r="B39" s="29">
        <v>1099</v>
      </c>
      <c r="C39" s="29">
        <v>3174</v>
      </c>
      <c r="D39" s="29"/>
      <c r="E39" s="30">
        <v>65</v>
      </c>
      <c r="F39" s="24">
        <f>SUM(B39:E39)</f>
        <v>4338</v>
      </c>
      <c r="G39" s="29">
        <v>933</v>
      </c>
      <c r="H39" s="29">
        <v>3004</v>
      </c>
      <c r="I39" s="29"/>
      <c r="J39" s="29">
        <v>64</v>
      </c>
      <c r="K39" s="24">
        <f>SUM(G39:J39)</f>
        <v>4001</v>
      </c>
      <c r="L39" s="25">
        <f t="shared" ref="L39:M41" si="22">+B39-G39</f>
        <v>166</v>
      </c>
      <c r="M39" s="25">
        <f t="shared" si="22"/>
        <v>170</v>
      </c>
      <c r="N39" s="25"/>
      <c r="O39" s="25">
        <f>+E39-J39</f>
        <v>1</v>
      </c>
      <c r="P39" s="26">
        <f>SUM(L39:O39)</f>
        <v>337</v>
      </c>
      <c r="Q39" s="18"/>
    </row>
    <row r="40" spans="1:17" ht="12.75" customHeight="1">
      <c r="A40" s="22" t="s">
        <v>17</v>
      </c>
      <c r="B40" s="29">
        <v>50</v>
      </c>
      <c r="C40" s="34"/>
      <c r="D40" s="34"/>
      <c r="E40" s="30"/>
      <c r="F40" s="24">
        <f>SUM(B40:E40)</f>
        <v>50</v>
      </c>
      <c r="G40" s="29">
        <v>50</v>
      </c>
      <c r="H40" s="34"/>
      <c r="I40" s="34"/>
      <c r="J40" s="34"/>
      <c r="K40" s="24">
        <f>SUM(G40:J40)</f>
        <v>50</v>
      </c>
      <c r="L40" s="25">
        <f t="shared" si="22"/>
        <v>0</v>
      </c>
      <c r="M40" s="25">
        <f t="shared" si="22"/>
        <v>0</v>
      </c>
      <c r="N40" s="25"/>
      <c r="O40" s="25">
        <f>+E40-J40</f>
        <v>0</v>
      </c>
      <c r="P40" s="26">
        <f>SUM(L40:O40)</f>
        <v>0</v>
      </c>
      <c r="Q40" s="18"/>
    </row>
    <row r="41" spans="1:17" ht="12.75" customHeight="1">
      <c r="A41" s="22" t="s">
        <v>18</v>
      </c>
      <c r="B41" s="29">
        <v>70</v>
      </c>
      <c r="C41" s="34"/>
      <c r="D41" s="34"/>
      <c r="E41" s="35"/>
      <c r="F41" s="24">
        <f>SUM(B41:E41)</f>
        <v>70</v>
      </c>
      <c r="G41" s="29">
        <v>54</v>
      </c>
      <c r="H41" s="34"/>
      <c r="I41" s="34"/>
      <c r="J41" s="34"/>
      <c r="K41" s="24">
        <f>SUM(G41:J41)</f>
        <v>54</v>
      </c>
      <c r="L41" s="25">
        <f t="shared" si="22"/>
        <v>16</v>
      </c>
      <c r="M41" s="25">
        <f t="shared" si="22"/>
        <v>0</v>
      </c>
      <c r="N41" s="25"/>
      <c r="O41" s="25">
        <f>+E41-J41</f>
        <v>0</v>
      </c>
      <c r="P41" s="26">
        <f>SUM(L41:O41)</f>
        <v>16</v>
      </c>
      <c r="Q41" s="18"/>
    </row>
    <row r="42" spans="1:17" ht="12.75" customHeight="1">
      <c r="A42" s="22" t="s">
        <v>19</v>
      </c>
      <c r="B42" s="27">
        <f t="shared" ref="B42:K42" si="23">+B43+B44</f>
        <v>0</v>
      </c>
      <c r="C42" s="27">
        <f t="shared" si="23"/>
        <v>80</v>
      </c>
      <c r="D42" s="27">
        <f t="shared" si="23"/>
        <v>0</v>
      </c>
      <c r="E42" s="27">
        <f t="shared" si="23"/>
        <v>0</v>
      </c>
      <c r="F42" s="27">
        <f t="shared" si="23"/>
        <v>80</v>
      </c>
      <c r="G42" s="27">
        <f t="shared" si="23"/>
        <v>0</v>
      </c>
      <c r="H42" s="27">
        <f t="shared" si="23"/>
        <v>0</v>
      </c>
      <c r="I42" s="27">
        <f t="shared" si="23"/>
        <v>0</v>
      </c>
      <c r="J42" s="27">
        <f t="shared" si="23"/>
        <v>0</v>
      </c>
      <c r="K42" s="27">
        <f t="shared" si="23"/>
        <v>0</v>
      </c>
      <c r="L42" s="27">
        <f t="shared" ref="L42:P42" si="24">+L43+L44</f>
        <v>0</v>
      </c>
      <c r="M42" s="27">
        <f t="shared" si="24"/>
        <v>80</v>
      </c>
      <c r="N42" s="27"/>
      <c r="O42" s="27">
        <f t="shared" si="24"/>
        <v>0</v>
      </c>
      <c r="P42" s="28">
        <f t="shared" si="24"/>
        <v>80</v>
      </c>
      <c r="Q42" s="18"/>
    </row>
    <row r="43" spans="1:17" ht="12.75" customHeight="1">
      <c r="A43" s="23" t="s">
        <v>20</v>
      </c>
      <c r="B43" s="29"/>
      <c r="C43" s="29">
        <v>80</v>
      </c>
      <c r="D43" s="29"/>
      <c r="E43" s="30"/>
      <c r="F43" s="24">
        <f>SUM(B43:E43)</f>
        <v>80</v>
      </c>
      <c r="G43" s="29"/>
      <c r="H43" s="29"/>
      <c r="I43" s="29"/>
      <c r="J43" s="29"/>
      <c r="K43" s="24">
        <f>SUM(G43:J43)</f>
        <v>0</v>
      </c>
      <c r="L43" s="25">
        <f>+B43-G43</f>
        <v>0</v>
      </c>
      <c r="M43" s="25">
        <f>+C43-H43</f>
        <v>80</v>
      </c>
      <c r="N43" s="25"/>
      <c r="O43" s="25">
        <f>+E43-J43</f>
        <v>0</v>
      </c>
      <c r="P43" s="26">
        <f>SUM(L43:O43)</f>
        <v>80</v>
      </c>
      <c r="Q43" s="18"/>
    </row>
    <row r="44" spans="1:17" ht="12.75" customHeight="1">
      <c r="A44" s="23" t="s">
        <v>21</v>
      </c>
      <c r="B44" s="29"/>
      <c r="C44" s="29"/>
      <c r="D44" s="29"/>
      <c r="E44" s="30"/>
      <c r="F44" s="24">
        <f>SUM(B44:E44)</f>
        <v>0</v>
      </c>
      <c r="G44" s="29"/>
      <c r="H44" s="29"/>
      <c r="I44" s="29"/>
      <c r="J44" s="29"/>
      <c r="K44" s="24">
        <f>SUM(G44:J44)</f>
        <v>0</v>
      </c>
      <c r="L44" s="25">
        <f>+B44-G44</f>
        <v>0</v>
      </c>
      <c r="M44" s="25">
        <f>+C44-H44</f>
        <v>0</v>
      </c>
      <c r="N44" s="25"/>
      <c r="O44" s="25">
        <f>+E44-J44</f>
        <v>0</v>
      </c>
      <c r="P44" s="26">
        <f>SUM(L44:O44)</f>
        <v>0</v>
      </c>
      <c r="Q44" s="18"/>
    </row>
    <row r="45" spans="1:17" ht="12.75" customHeight="1">
      <c r="A45" s="33"/>
      <c r="B45" s="24"/>
      <c r="C45" s="24"/>
      <c r="D45" s="24"/>
      <c r="E45" s="26"/>
      <c r="F45" s="24"/>
      <c r="G45" s="32"/>
      <c r="H45" s="32"/>
      <c r="I45" s="32"/>
      <c r="J45" s="32"/>
      <c r="K45" s="32"/>
      <c r="L45" s="24"/>
      <c r="M45" s="24"/>
      <c r="N45" s="24"/>
      <c r="O45" s="24"/>
      <c r="P45" s="26"/>
      <c r="Q45" s="18"/>
    </row>
    <row r="46" spans="1:17" ht="12.75" customHeight="1">
      <c r="A46" s="215" t="s">
        <v>72</v>
      </c>
      <c r="B46" s="17">
        <f t="shared" ref="B46:K46" si="25">+B47+B51</f>
        <v>5279</v>
      </c>
      <c r="C46" s="17">
        <f t="shared" si="25"/>
        <v>13655</v>
      </c>
      <c r="D46" s="17">
        <f t="shared" si="25"/>
        <v>0</v>
      </c>
      <c r="E46" s="17">
        <f t="shared" si="25"/>
        <v>0</v>
      </c>
      <c r="F46" s="17">
        <f t="shared" si="25"/>
        <v>18934</v>
      </c>
      <c r="G46" s="17">
        <f t="shared" si="25"/>
        <v>5200</v>
      </c>
      <c r="H46" s="17">
        <f t="shared" si="25"/>
        <v>13655</v>
      </c>
      <c r="I46" s="17">
        <f t="shared" si="25"/>
        <v>0</v>
      </c>
      <c r="J46" s="17">
        <f t="shared" si="25"/>
        <v>0</v>
      </c>
      <c r="K46" s="17">
        <f t="shared" si="25"/>
        <v>18855</v>
      </c>
      <c r="L46" s="17">
        <f>+L47+L51</f>
        <v>79</v>
      </c>
      <c r="M46" s="17">
        <f>+M47+M51</f>
        <v>0</v>
      </c>
      <c r="N46" s="17"/>
      <c r="O46" s="17">
        <f>+O47+O51</f>
        <v>0</v>
      </c>
      <c r="P46" s="17">
        <f>+P47+P51</f>
        <v>79</v>
      </c>
      <c r="Q46" s="18">
        <f>+K46/F46</f>
        <v>0.99582761170381329</v>
      </c>
    </row>
    <row r="47" spans="1:17" ht="12.75" customHeight="1">
      <c r="A47" s="41" t="s">
        <v>15</v>
      </c>
      <c r="B47" s="20">
        <f t="shared" ref="B47:K47" si="26">+B48+B49+B50</f>
        <v>5279</v>
      </c>
      <c r="C47" s="20">
        <f t="shared" si="26"/>
        <v>11128</v>
      </c>
      <c r="D47" s="20">
        <f t="shared" si="26"/>
        <v>0</v>
      </c>
      <c r="E47" s="20">
        <f t="shared" si="26"/>
        <v>0</v>
      </c>
      <c r="F47" s="20">
        <f t="shared" si="26"/>
        <v>16407</v>
      </c>
      <c r="G47" s="20">
        <f t="shared" si="26"/>
        <v>5200</v>
      </c>
      <c r="H47" s="20">
        <f t="shared" si="26"/>
        <v>11128</v>
      </c>
      <c r="I47" s="20">
        <f t="shared" si="26"/>
        <v>0</v>
      </c>
      <c r="J47" s="20">
        <f t="shared" si="26"/>
        <v>0</v>
      </c>
      <c r="K47" s="20">
        <f t="shared" si="26"/>
        <v>16328</v>
      </c>
      <c r="L47" s="20">
        <f>+L48+L49+L50</f>
        <v>79</v>
      </c>
      <c r="M47" s="20">
        <f>+M48+M49+M50</f>
        <v>0</v>
      </c>
      <c r="N47" s="20"/>
      <c r="O47" s="20">
        <f>+O48+O49+O50</f>
        <v>0</v>
      </c>
      <c r="P47" s="21">
        <f>+P48+P49+P50</f>
        <v>79</v>
      </c>
      <c r="Q47" s="18"/>
    </row>
    <row r="48" spans="1:17" ht="12.75" customHeight="1">
      <c r="A48" s="22" t="s">
        <v>16</v>
      </c>
      <c r="B48" s="29">
        <v>4828</v>
      </c>
      <c r="C48" s="29">
        <v>11128</v>
      </c>
      <c r="D48" s="29"/>
      <c r="E48" s="30"/>
      <c r="F48" s="24">
        <f>SUM(B48:E48)</f>
        <v>15956</v>
      </c>
      <c r="G48" s="29">
        <f>4182+601</f>
        <v>4783</v>
      </c>
      <c r="H48" s="29">
        <f>11729-601</f>
        <v>11128</v>
      </c>
      <c r="I48" s="29"/>
      <c r="J48" s="29"/>
      <c r="K48" s="24">
        <f>SUM(G48:J48)</f>
        <v>15911</v>
      </c>
      <c r="L48" s="25">
        <f t="shared" ref="L48:M50" si="27">+B48-G48</f>
        <v>45</v>
      </c>
      <c r="M48" s="25">
        <f t="shared" si="27"/>
        <v>0</v>
      </c>
      <c r="N48" s="25"/>
      <c r="O48" s="25">
        <f>+E48-J48</f>
        <v>0</v>
      </c>
      <c r="P48" s="26">
        <f>SUM(L48:O48)</f>
        <v>45</v>
      </c>
      <c r="Q48" s="18"/>
    </row>
    <row r="49" spans="1:17" ht="12.75" customHeight="1">
      <c r="A49" s="22" t="s">
        <v>17</v>
      </c>
      <c r="B49" s="29">
        <v>123</v>
      </c>
      <c r="C49" s="34"/>
      <c r="D49" s="34"/>
      <c r="E49" s="30"/>
      <c r="F49" s="24">
        <f>SUM(B49:E49)</f>
        <v>123</v>
      </c>
      <c r="G49" s="29">
        <f>58+65</f>
        <v>123</v>
      </c>
      <c r="H49" s="34"/>
      <c r="I49" s="34"/>
      <c r="J49" s="34"/>
      <c r="K49" s="24">
        <f>SUM(G49:J49)</f>
        <v>123</v>
      </c>
      <c r="L49" s="25">
        <f t="shared" si="27"/>
        <v>0</v>
      </c>
      <c r="M49" s="25">
        <f t="shared" si="27"/>
        <v>0</v>
      </c>
      <c r="N49" s="25"/>
      <c r="O49" s="25">
        <f>+E49-J49</f>
        <v>0</v>
      </c>
      <c r="P49" s="26">
        <f>SUM(L49:O49)</f>
        <v>0</v>
      </c>
      <c r="Q49" s="18"/>
    </row>
    <row r="50" spans="1:17" ht="12.75" customHeight="1">
      <c r="A50" s="22" t="s">
        <v>18</v>
      </c>
      <c r="B50" s="29">
        <v>328</v>
      </c>
      <c r="C50" s="34"/>
      <c r="D50" s="34"/>
      <c r="E50" s="35"/>
      <c r="F50" s="24">
        <f>SUM(B50:E50)</f>
        <v>328</v>
      </c>
      <c r="G50" s="29">
        <v>294</v>
      </c>
      <c r="H50" s="34"/>
      <c r="I50" s="34"/>
      <c r="J50" s="34"/>
      <c r="K50" s="24">
        <f>SUM(G50:J50)</f>
        <v>294</v>
      </c>
      <c r="L50" s="25">
        <f t="shared" si="27"/>
        <v>34</v>
      </c>
      <c r="M50" s="25">
        <f t="shared" si="27"/>
        <v>0</v>
      </c>
      <c r="N50" s="25"/>
      <c r="O50" s="25">
        <f>+E50-J50</f>
        <v>0</v>
      </c>
      <c r="P50" s="26">
        <f>SUM(L50:O50)</f>
        <v>34</v>
      </c>
      <c r="Q50" s="18"/>
    </row>
    <row r="51" spans="1:17" ht="12.75" customHeight="1">
      <c r="A51" s="22" t="s">
        <v>19</v>
      </c>
      <c r="B51" s="27">
        <f t="shared" ref="B51:K51" si="28">+B52+B53</f>
        <v>0</v>
      </c>
      <c r="C51" s="27">
        <f t="shared" si="28"/>
        <v>2527</v>
      </c>
      <c r="D51" s="27">
        <f t="shared" si="28"/>
        <v>0</v>
      </c>
      <c r="E51" s="27">
        <f t="shared" si="28"/>
        <v>0</v>
      </c>
      <c r="F51" s="27">
        <f t="shared" si="28"/>
        <v>2527</v>
      </c>
      <c r="G51" s="27">
        <f t="shared" si="28"/>
        <v>0</v>
      </c>
      <c r="H51" s="27">
        <f t="shared" si="28"/>
        <v>2527</v>
      </c>
      <c r="I51" s="27">
        <f t="shared" si="28"/>
        <v>0</v>
      </c>
      <c r="J51" s="27">
        <f t="shared" si="28"/>
        <v>0</v>
      </c>
      <c r="K51" s="27">
        <f t="shared" si="28"/>
        <v>2527</v>
      </c>
      <c r="L51" s="27">
        <f t="shared" ref="L51:P51" si="29">+L52+L53</f>
        <v>0</v>
      </c>
      <c r="M51" s="27">
        <f t="shared" si="29"/>
        <v>0</v>
      </c>
      <c r="N51" s="27"/>
      <c r="O51" s="27">
        <f t="shared" si="29"/>
        <v>0</v>
      </c>
      <c r="P51" s="28">
        <f t="shared" si="29"/>
        <v>0</v>
      </c>
      <c r="Q51" s="18"/>
    </row>
    <row r="52" spans="1:17" ht="12.75" customHeight="1">
      <c r="A52" s="23" t="s">
        <v>20</v>
      </c>
      <c r="B52" s="29"/>
      <c r="C52" s="29">
        <f>269+2014+244</f>
        <v>2527</v>
      </c>
      <c r="D52" s="29"/>
      <c r="E52" s="30"/>
      <c r="F52" s="24">
        <f>SUM(B52:E52)</f>
        <v>2527</v>
      </c>
      <c r="G52" s="29"/>
      <c r="H52" s="29">
        <f>2205+322</f>
        <v>2527</v>
      </c>
      <c r="I52" s="29"/>
      <c r="J52" s="29"/>
      <c r="K52" s="24">
        <f>SUM(G52:J52)</f>
        <v>2527</v>
      </c>
      <c r="L52" s="25">
        <f>+B52-G52</f>
        <v>0</v>
      </c>
      <c r="M52" s="25">
        <f>+C52-H52</f>
        <v>0</v>
      </c>
      <c r="N52" s="25"/>
      <c r="O52" s="25">
        <f>+E52-J52</f>
        <v>0</v>
      </c>
      <c r="P52" s="26">
        <f>SUM(L52:O52)</f>
        <v>0</v>
      </c>
      <c r="Q52" s="18"/>
    </row>
    <row r="53" spans="1:17" ht="12.75" customHeight="1">
      <c r="A53" s="23" t="s">
        <v>21</v>
      </c>
      <c r="B53" s="29"/>
      <c r="C53" s="29"/>
      <c r="D53" s="29"/>
      <c r="E53" s="30"/>
      <c r="F53" s="24">
        <f>SUM(B53:E53)</f>
        <v>0</v>
      </c>
      <c r="G53" s="29"/>
      <c r="H53" s="29">
        <f>322-322</f>
        <v>0</v>
      </c>
      <c r="I53" s="29"/>
      <c r="J53" s="29"/>
      <c r="K53" s="24">
        <f>SUM(G53:J53)</f>
        <v>0</v>
      </c>
      <c r="L53" s="25">
        <f>+B53-G53</f>
        <v>0</v>
      </c>
      <c r="M53" s="25">
        <f>+C53-H53</f>
        <v>0</v>
      </c>
      <c r="N53" s="25"/>
      <c r="O53" s="25">
        <f>+E53-J53</f>
        <v>0</v>
      </c>
      <c r="P53" s="26">
        <f>SUM(L53:O53)</f>
        <v>0</v>
      </c>
      <c r="Q53" s="18"/>
    </row>
    <row r="54" spans="1:17" ht="12.75" customHeight="1">
      <c r="A54" s="85"/>
      <c r="B54" s="77"/>
      <c r="C54" s="77"/>
      <c r="D54" s="77"/>
      <c r="E54" s="75"/>
      <c r="F54" s="77"/>
      <c r="G54" s="82"/>
      <c r="H54" s="82"/>
      <c r="I54" s="82"/>
      <c r="J54" s="82"/>
      <c r="K54" s="82"/>
      <c r="L54" s="77"/>
      <c r="M54" s="77"/>
      <c r="N54" s="77"/>
      <c r="O54" s="77"/>
      <c r="P54" s="75"/>
      <c r="Q54" s="76"/>
    </row>
    <row r="55" spans="1:17">
      <c r="A55" s="80"/>
    </row>
    <row r="56" spans="1:17">
      <c r="A56" s="80"/>
    </row>
    <row r="57" spans="1:17">
      <c r="A57" s="80"/>
    </row>
    <row r="58" spans="1:17">
      <c r="A58" s="80"/>
    </row>
    <row r="59" spans="1:17">
      <c r="A59" s="80"/>
    </row>
    <row r="60" spans="1:17">
      <c r="A60" s="80"/>
    </row>
    <row r="61" spans="1:17">
      <c r="A61" s="80"/>
    </row>
    <row r="62" spans="1:17">
      <c r="A62" s="80"/>
    </row>
    <row r="63" spans="1:17">
      <c r="A63" s="80"/>
    </row>
    <row r="64" spans="1:17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1" fitToWidth="0" fitToHeight="0" orientation="landscape" r:id="rId1"/>
  <headerFooter alignWithMargins="0"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72"/>
  <sheetViews>
    <sheetView showRuler="0" zoomScaleSheetLayoutView="100" workbookViewId="0">
      <pane xSplit="1" ySplit="8" topLeftCell="B27" activePane="bottomRight" state="frozen"/>
      <selection activeCell="A1459" sqref="A1459"/>
      <selection pane="topRight" activeCell="A1459" sqref="A1459"/>
      <selection pane="bottomLeft" activeCell="A1459" sqref="A1459"/>
      <selection pane="bottomRight" activeCell="F53" sqref="F53"/>
    </sheetView>
  </sheetViews>
  <sheetFormatPr defaultRowHeight="12.75"/>
  <cols>
    <col min="1" max="1" width="32.57031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73</v>
      </c>
      <c r="B10" s="17">
        <f t="shared" ref="B10:J10" si="0">+B11+B16+B15</f>
        <v>14521392</v>
      </c>
      <c r="C10" s="17">
        <f t="shared" si="0"/>
        <v>25385047</v>
      </c>
      <c r="D10" s="17">
        <f t="shared" si="0"/>
        <v>0</v>
      </c>
      <c r="E10" s="17">
        <f t="shared" si="0"/>
        <v>16525305</v>
      </c>
      <c r="F10" s="17">
        <f t="shared" si="0"/>
        <v>56431744</v>
      </c>
      <c r="G10" s="17">
        <f t="shared" si="0"/>
        <v>13931529</v>
      </c>
      <c r="H10" s="17">
        <f t="shared" si="0"/>
        <v>21461513</v>
      </c>
      <c r="I10" s="17"/>
      <c r="J10" s="17">
        <f t="shared" si="0"/>
        <v>11649328</v>
      </c>
      <c r="K10" s="17">
        <f>+K11+K16+K15</f>
        <v>47042370</v>
      </c>
      <c r="L10" s="17">
        <f>+L11+L16+L15</f>
        <v>589863</v>
      </c>
      <c r="M10" s="17">
        <f>+M11+M16+M15</f>
        <v>3923534</v>
      </c>
      <c r="N10" s="17"/>
      <c r="O10" s="17">
        <f>+O11+O16+O15</f>
        <v>4875977</v>
      </c>
      <c r="P10" s="17">
        <f>+P11+P16+P15</f>
        <v>9389374</v>
      </c>
      <c r="Q10" s="18">
        <f>+K10/F10</f>
        <v>0.83361538498615251</v>
      </c>
    </row>
    <row r="11" spans="1:18" ht="12.75" customHeight="1">
      <c r="A11" s="41" t="s">
        <v>15</v>
      </c>
      <c r="B11" s="20">
        <f t="shared" ref="B11:P11" si="1">+B12+B13+B14</f>
        <v>14521392</v>
      </c>
      <c r="C11" s="20">
        <f t="shared" si="1"/>
        <v>23759392</v>
      </c>
      <c r="D11" s="20">
        <f t="shared" si="1"/>
        <v>0</v>
      </c>
      <c r="E11" s="20">
        <f t="shared" si="1"/>
        <v>11949194</v>
      </c>
      <c r="F11" s="20">
        <f t="shared" si="1"/>
        <v>50229978</v>
      </c>
      <c r="G11" s="20">
        <f>+G12+G13+G14</f>
        <v>13931529</v>
      </c>
      <c r="H11" s="20">
        <f>+H12+H13+H14</f>
        <v>19946776</v>
      </c>
      <c r="I11" s="20"/>
      <c r="J11" s="20">
        <f>+J12+J13+J14</f>
        <v>7231643</v>
      </c>
      <c r="K11" s="20">
        <f>+K12+K13+K14</f>
        <v>41109948</v>
      </c>
      <c r="L11" s="20">
        <f t="shared" si="1"/>
        <v>589863</v>
      </c>
      <c r="M11" s="20">
        <f t="shared" si="1"/>
        <v>3812616</v>
      </c>
      <c r="N11" s="20"/>
      <c r="O11" s="20">
        <f t="shared" si="1"/>
        <v>4717551</v>
      </c>
      <c r="P11" s="21">
        <f t="shared" si="1"/>
        <v>9120030</v>
      </c>
      <c r="Q11" s="18"/>
    </row>
    <row r="12" spans="1:18" ht="12.75" customHeight="1">
      <c r="A12" s="22" t="s">
        <v>16</v>
      </c>
      <c r="B12" s="23">
        <f t="shared" ref="B12:E14" si="2">+B22+B32+B41</f>
        <v>11280818</v>
      </c>
      <c r="C12" s="23">
        <f t="shared" si="2"/>
        <v>23527154</v>
      </c>
      <c r="D12" s="23">
        <f t="shared" si="2"/>
        <v>0</v>
      </c>
      <c r="E12" s="23">
        <f t="shared" si="2"/>
        <v>11427107</v>
      </c>
      <c r="F12" s="24">
        <f>SUM(B12:E12)</f>
        <v>46235079</v>
      </c>
      <c r="G12" s="23">
        <f t="shared" ref="G12:J14" si="3">+G22+G32+G41</f>
        <v>10827542</v>
      </c>
      <c r="H12" s="23">
        <f t="shared" si="3"/>
        <v>19752853</v>
      </c>
      <c r="I12" s="23"/>
      <c r="J12" s="23">
        <f t="shared" si="3"/>
        <v>6851984</v>
      </c>
      <c r="K12" s="24">
        <f>SUM(G12:J12)</f>
        <v>37432379</v>
      </c>
      <c r="L12" s="25">
        <f t="shared" ref="L12:M15" si="4">+B12-G12</f>
        <v>453276</v>
      </c>
      <c r="M12" s="25">
        <f t="shared" si="4"/>
        <v>3774301</v>
      </c>
      <c r="N12" s="25"/>
      <c r="O12" s="25">
        <f>+E12-J12</f>
        <v>4575123</v>
      </c>
      <c r="P12" s="26">
        <f>SUM(L12:O12)</f>
        <v>8802700</v>
      </c>
      <c r="Q12" s="18"/>
    </row>
    <row r="13" spans="1:18" ht="12.75" customHeight="1">
      <c r="A13" s="22" t="s">
        <v>17</v>
      </c>
      <c r="B13" s="23">
        <f t="shared" si="2"/>
        <v>2328646</v>
      </c>
      <c r="C13" s="23">
        <f t="shared" si="2"/>
        <v>6249</v>
      </c>
      <c r="D13" s="23">
        <f t="shared" si="2"/>
        <v>0</v>
      </c>
      <c r="E13" s="23">
        <f t="shared" si="2"/>
        <v>0</v>
      </c>
      <c r="F13" s="24">
        <f>SUM(B13:E13)</f>
        <v>2334895</v>
      </c>
      <c r="G13" s="23">
        <f t="shared" si="3"/>
        <v>2243336</v>
      </c>
      <c r="H13" s="23">
        <f t="shared" si="3"/>
        <v>3711</v>
      </c>
      <c r="I13" s="23"/>
      <c r="J13" s="23">
        <f t="shared" si="3"/>
        <v>0</v>
      </c>
      <c r="K13" s="24">
        <f>SUM(G13:J13)</f>
        <v>2247047</v>
      </c>
      <c r="L13" s="25">
        <f t="shared" si="4"/>
        <v>85310</v>
      </c>
      <c r="M13" s="25">
        <f t="shared" si="4"/>
        <v>2538</v>
      </c>
      <c r="N13" s="25"/>
      <c r="O13" s="25">
        <f>+E13-J13</f>
        <v>0</v>
      </c>
      <c r="P13" s="26">
        <f>SUM(L13:O13)</f>
        <v>87848</v>
      </c>
      <c r="Q13" s="18"/>
    </row>
    <row r="14" spans="1:18" ht="12.75" customHeight="1">
      <c r="A14" s="22" t="s">
        <v>18</v>
      </c>
      <c r="B14" s="23">
        <f t="shared" si="2"/>
        <v>911928</v>
      </c>
      <c r="C14" s="23">
        <f t="shared" si="2"/>
        <v>225989</v>
      </c>
      <c r="D14" s="23">
        <f t="shared" si="2"/>
        <v>0</v>
      </c>
      <c r="E14" s="23">
        <f t="shared" si="2"/>
        <v>522087</v>
      </c>
      <c r="F14" s="24">
        <f>SUM(B14:E14)</f>
        <v>1660004</v>
      </c>
      <c r="G14" s="23">
        <f t="shared" si="3"/>
        <v>860651</v>
      </c>
      <c r="H14" s="23">
        <f t="shared" si="3"/>
        <v>190212</v>
      </c>
      <c r="I14" s="23"/>
      <c r="J14" s="23">
        <f t="shared" si="3"/>
        <v>379659</v>
      </c>
      <c r="K14" s="24">
        <f>SUM(G14:J14)</f>
        <v>1430522</v>
      </c>
      <c r="L14" s="25">
        <f t="shared" si="4"/>
        <v>51277</v>
      </c>
      <c r="M14" s="25">
        <f t="shared" si="4"/>
        <v>35777</v>
      </c>
      <c r="N14" s="25"/>
      <c r="O14" s="25">
        <f>+E14-J14</f>
        <v>142428</v>
      </c>
      <c r="P14" s="26">
        <f>SUM(L14:O14)</f>
        <v>229482</v>
      </c>
      <c r="Q14" s="18"/>
    </row>
    <row r="15" spans="1:18" ht="12.75" customHeight="1">
      <c r="A15" s="22" t="s">
        <v>30</v>
      </c>
      <c r="B15" s="23">
        <f>+B25</f>
        <v>0</v>
      </c>
      <c r="C15" s="23">
        <f>+C25</f>
        <v>0</v>
      </c>
      <c r="D15" s="23">
        <f>+D25</f>
        <v>0</v>
      </c>
      <c r="E15" s="23">
        <f>+E25</f>
        <v>155663</v>
      </c>
      <c r="F15" s="24">
        <f>SUM(B15:E15)</f>
        <v>155663</v>
      </c>
      <c r="G15" s="23"/>
      <c r="H15" s="23"/>
      <c r="I15" s="23"/>
      <c r="J15" s="23"/>
      <c r="K15" s="24"/>
      <c r="L15" s="25">
        <f t="shared" si="4"/>
        <v>0</v>
      </c>
      <c r="M15" s="25">
        <f t="shared" si="4"/>
        <v>0</v>
      </c>
      <c r="N15" s="25"/>
      <c r="O15" s="25">
        <f>+E15-J15</f>
        <v>155663</v>
      </c>
      <c r="P15" s="26">
        <f>SUM(L15:O15)</f>
        <v>155663</v>
      </c>
      <c r="Q15" s="18"/>
    </row>
    <row r="16" spans="1:18" ht="12.75" customHeight="1">
      <c r="A16" s="22" t="s">
        <v>19</v>
      </c>
      <c r="B16" s="44">
        <f t="shared" ref="B16:P16" si="5">+B17+B18</f>
        <v>0</v>
      </c>
      <c r="C16" s="44">
        <f t="shared" si="5"/>
        <v>1625655</v>
      </c>
      <c r="D16" s="44">
        <f t="shared" si="5"/>
        <v>0</v>
      </c>
      <c r="E16" s="45">
        <f t="shared" si="5"/>
        <v>4420448</v>
      </c>
      <c r="F16" s="44">
        <f t="shared" si="5"/>
        <v>6046103</v>
      </c>
      <c r="G16" s="44">
        <f>+G17+G18</f>
        <v>0</v>
      </c>
      <c r="H16" s="44">
        <f>+H17+H18</f>
        <v>1514737</v>
      </c>
      <c r="I16" s="44"/>
      <c r="J16" s="45">
        <f>+J17+J18</f>
        <v>4417685</v>
      </c>
      <c r="K16" s="44">
        <f>+K17+K18</f>
        <v>5932422</v>
      </c>
      <c r="L16" s="44">
        <f t="shared" si="5"/>
        <v>0</v>
      </c>
      <c r="M16" s="44">
        <f t="shared" si="5"/>
        <v>110918</v>
      </c>
      <c r="N16" s="44"/>
      <c r="O16" s="44">
        <f t="shared" si="5"/>
        <v>2763</v>
      </c>
      <c r="P16" s="45">
        <f t="shared" si="5"/>
        <v>113681</v>
      </c>
      <c r="Q16" s="18"/>
    </row>
    <row r="17" spans="1:17" ht="12.75" customHeight="1">
      <c r="A17" s="23" t="s">
        <v>20</v>
      </c>
      <c r="B17" s="23">
        <f t="shared" ref="B17:E18" si="6">+B27+B36+B45</f>
        <v>0</v>
      </c>
      <c r="C17" s="23">
        <f t="shared" si="6"/>
        <v>1625655</v>
      </c>
      <c r="D17" s="23">
        <f t="shared" si="6"/>
        <v>0</v>
      </c>
      <c r="E17" s="23">
        <f t="shared" si="6"/>
        <v>3920448</v>
      </c>
      <c r="F17" s="24">
        <f>SUM(B17:E17)</f>
        <v>5546103</v>
      </c>
      <c r="G17" s="23">
        <f t="shared" ref="G17:J18" si="7">+G27+G36+G45</f>
        <v>0</v>
      </c>
      <c r="H17" s="23">
        <f t="shared" si="7"/>
        <v>1514737</v>
      </c>
      <c r="I17" s="23"/>
      <c r="J17" s="23">
        <f t="shared" si="7"/>
        <v>3920448</v>
      </c>
      <c r="K17" s="24">
        <f>SUM(G17:J17)</f>
        <v>5435185</v>
      </c>
      <c r="L17" s="25">
        <f>+B17-G17</f>
        <v>0</v>
      </c>
      <c r="M17" s="25">
        <f>+C17-H17</f>
        <v>110918</v>
      </c>
      <c r="N17" s="25"/>
      <c r="O17" s="25">
        <f>+E17-J17</f>
        <v>0</v>
      </c>
      <c r="P17" s="26">
        <f>SUM(L17:O17)</f>
        <v>110918</v>
      </c>
      <c r="Q17" s="18"/>
    </row>
    <row r="18" spans="1:17" ht="12.75" customHeight="1">
      <c r="A18" s="23" t="s">
        <v>21</v>
      </c>
      <c r="B18" s="23">
        <f t="shared" si="6"/>
        <v>0</v>
      </c>
      <c r="C18" s="23">
        <f t="shared" si="6"/>
        <v>0</v>
      </c>
      <c r="D18" s="23">
        <f t="shared" si="6"/>
        <v>0</v>
      </c>
      <c r="E18" s="23">
        <f t="shared" si="6"/>
        <v>500000</v>
      </c>
      <c r="F18" s="24">
        <f>SUM(B18:E18)</f>
        <v>500000</v>
      </c>
      <c r="G18" s="23">
        <f t="shared" si="7"/>
        <v>0</v>
      </c>
      <c r="H18" s="23">
        <f t="shared" si="7"/>
        <v>0</v>
      </c>
      <c r="I18" s="23"/>
      <c r="J18" s="23">
        <f t="shared" si="7"/>
        <v>497237</v>
      </c>
      <c r="K18" s="24">
        <f>SUM(G18:J18)</f>
        <v>497237</v>
      </c>
      <c r="L18" s="25">
        <f>+B18-G18</f>
        <v>0</v>
      </c>
      <c r="M18" s="25">
        <f>+C18-H18</f>
        <v>0</v>
      </c>
      <c r="N18" s="25"/>
      <c r="O18" s="25">
        <f>+E18-J18</f>
        <v>2763</v>
      </c>
      <c r="P18" s="26">
        <f>SUM(L18:O18)</f>
        <v>2763</v>
      </c>
      <c r="Q18" s="18"/>
    </row>
    <row r="19" spans="1:17" ht="12.75" customHeight="1">
      <c r="A19" s="22"/>
      <c r="B19" s="25"/>
      <c r="C19" s="25"/>
      <c r="D19" s="25"/>
      <c r="E19" s="43"/>
      <c r="F19" s="24"/>
      <c r="G19" s="25"/>
      <c r="H19" s="25"/>
      <c r="I19" s="25"/>
      <c r="J19" s="25"/>
      <c r="K19" s="24"/>
      <c r="L19" s="25"/>
      <c r="M19" s="25"/>
      <c r="N19" s="25"/>
      <c r="O19" s="25"/>
      <c r="P19" s="26"/>
      <c r="Q19" s="18"/>
    </row>
    <row r="20" spans="1:17" ht="12.75" customHeight="1">
      <c r="A20" s="33" t="s">
        <v>31</v>
      </c>
      <c r="B20" s="17">
        <f t="shared" ref="B20:K20" si="8">+B21+B26+B25</f>
        <v>14318744</v>
      </c>
      <c r="C20" s="17">
        <f t="shared" si="8"/>
        <v>24909777</v>
      </c>
      <c r="D20" s="17">
        <f t="shared" si="8"/>
        <v>0</v>
      </c>
      <c r="E20" s="17">
        <f t="shared" si="8"/>
        <v>16515868</v>
      </c>
      <c r="F20" s="17">
        <f t="shared" si="8"/>
        <v>55744389</v>
      </c>
      <c r="G20" s="17">
        <f t="shared" si="8"/>
        <v>13750007</v>
      </c>
      <c r="H20" s="17">
        <f t="shared" si="8"/>
        <v>21039333</v>
      </c>
      <c r="I20" s="17">
        <f t="shared" si="8"/>
        <v>0</v>
      </c>
      <c r="J20" s="17">
        <f t="shared" si="8"/>
        <v>11795311</v>
      </c>
      <c r="K20" s="17">
        <f t="shared" si="8"/>
        <v>46584651</v>
      </c>
      <c r="L20" s="17">
        <f t="shared" ref="L20:P20" si="9">+L21+L26+L25</f>
        <v>568737</v>
      </c>
      <c r="M20" s="17">
        <f t="shared" si="9"/>
        <v>3870444</v>
      </c>
      <c r="N20" s="17"/>
      <c r="O20" s="17">
        <f t="shared" si="9"/>
        <v>4720043</v>
      </c>
      <c r="P20" s="17">
        <f t="shared" si="9"/>
        <v>9159224</v>
      </c>
      <c r="Q20" s="18">
        <f>+K20/F20</f>
        <v>0.83568322903314984</v>
      </c>
    </row>
    <row r="21" spans="1:17" ht="12.75" customHeight="1">
      <c r="A21" s="41" t="s">
        <v>15</v>
      </c>
      <c r="B21" s="20">
        <f t="shared" ref="B21:K21" si="10">+B22+B23+B24</f>
        <v>14318744</v>
      </c>
      <c r="C21" s="20">
        <f t="shared" si="10"/>
        <v>23284122</v>
      </c>
      <c r="D21" s="20">
        <f t="shared" si="10"/>
        <v>0</v>
      </c>
      <c r="E21" s="20">
        <f t="shared" si="10"/>
        <v>11939757</v>
      </c>
      <c r="F21" s="20">
        <f t="shared" si="10"/>
        <v>49542623</v>
      </c>
      <c r="G21" s="20">
        <f t="shared" si="10"/>
        <v>13750007</v>
      </c>
      <c r="H21" s="20">
        <f t="shared" si="10"/>
        <v>19524596</v>
      </c>
      <c r="I21" s="20">
        <f t="shared" si="10"/>
        <v>0</v>
      </c>
      <c r="J21" s="20">
        <f t="shared" si="10"/>
        <v>7222477</v>
      </c>
      <c r="K21" s="20">
        <f t="shared" si="10"/>
        <v>40497080</v>
      </c>
      <c r="L21" s="20">
        <f t="shared" ref="L21:P21" si="11">+L22+L23+L24</f>
        <v>568737</v>
      </c>
      <c r="M21" s="20">
        <f t="shared" si="11"/>
        <v>3759526</v>
      </c>
      <c r="N21" s="20"/>
      <c r="O21" s="20">
        <f t="shared" si="11"/>
        <v>4717280</v>
      </c>
      <c r="P21" s="21">
        <f t="shared" si="11"/>
        <v>9045543</v>
      </c>
      <c r="Q21" s="18"/>
    </row>
    <row r="22" spans="1:17" ht="12.75" customHeight="1">
      <c r="A22" s="22" t="s">
        <v>16</v>
      </c>
      <c r="B22" s="29">
        <v>11127215</v>
      </c>
      <c r="C22" s="29">
        <v>23054182</v>
      </c>
      <c r="D22" s="29"/>
      <c r="E22" s="30">
        <v>11417670</v>
      </c>
      <c r="F22" s="24">
        <f>SUM(B22:E22)</f>
        <v>45599067</v>
      </c>
      <c r="G22" s="29">
        <v>10673738</v>
      </c>
      <c r="H22" s="29">
        <v>19330772</v>
      </c>
      <c r="I22" s="29"/>
      <c r="J22" s="29">
        <v>6842818</v>
      </c>
      <c r="K22" s="24">
        <f>SUM(G22:J22)</f>
        <v>36847328</v>
      </c>
      <c r="L22" s="25">
        <f t="shared" ref="L22:M24" si="12">+B22-G22</f>
        <v>453477</v>
      </c>
      <c r="M22" s="25">
        <f t="shared" si="12"/>
        <v>3723410</v>
      </c>
      <c r="N22" s="25"/>
      <c r="O22" s="25">
        <f>+E22-J22</f>
        <v>4574852</v>
      </c>
      <c r="P22" s="26">
        <f>SUM(L22:O22)</f>
        <v>8751739</v>
      </c>
      <c r="Q22" s="18"/>
    </row>
    <row r="23" spans="1:17" ht="12.75" customHeight="1">
      <c r="A23" s="22" t="s">
        <v>17</v>
      </c>
      <c r="B23" s="29">
        <v>2292695</v>
      </c>
      <c r="C23" s="29">
        <v>3951</v>
      </c>
      <c r="D23" s="29"/>
      <c r="E23" s="30"/>
      <c r="F23" s="24">
        <f>SUM(B23:E23)</f>
        <v>2296646</v>
      </c>
      <c r="G23" s="29">
        <v>2228857</v>
      </c>
      <c r="H23" s="29">
        <v>3612</v>
      </c>
      <c r="I23" s="29"/>
      <c r="J23" s="29"/>
      <c r="K23" s="24">
        <f>SUM(G23:J23)</f>
        <v>2232469</v>
      </c>
      <c r="L23" s="25">
        <f t="shared" si="12"/>
        <v>63838</v>
      </c>
      <c r="M23" s="25">
        <f t="shared" si="12"/>
        <v>339</v>
      </c>
      <c r="N23" s="25"/>
      <c r="O23" s="25">
        <f>+E23-J23</f>
        <v>0</v>
      </c>
      <c r="P23" s="26">
        <f>SUM(L23:O23)</f>
        <v>64177</v>
      </c>
      <c r="Q23" s="18"/>
    </row>
    <row r="24" spans="1:17" ht="12.75" customHeight="1">
      <c r="A24" s="22" t="s">
        <v>18</v>
      </c>
      <c r="B24" s="29">
        <v>898834</v>
      </c>
      <c r="C24" s="29">
        <v>225989</v>
      </c>
      <c r="D24" s="29"/>
      <c r="E24" s="30">
        <v>522087</v>
      </c>
      <c r="F24" s="24">
        <f>SUM(B24:E24)</f>
        <v>1646910</v>
      </c>
      <c r="G24" s="29">
        <v>847412</v>
      </c>
      <c r="H24" s="29">
        <v>190212</v>
      </c>
      <c r="I24" s="29"/>
      <c r="J24" s="29">
        <v>379659</v>
      </c>
      <c r="K24" s="24">
        <f>SUM(G24:J24)</f>
        <v>1417283</v>
      </c>
      <c r="L24" s="25">
        <f t="shared" si="12"/>
        <v>51422</v>
      </c>
      <c r="M24" s="25">
        <f t="shared" si="12"/>
        <v>35777</v>
      </c>
      <c r="N24" s="25"/>
      <c r="O24" s="25">
        <f>+E24-J24</f>
        <v>142428</v>
      </c>
      <c r="P24" s="26">
        <f>SUM(L24:O24)</f>
        <v>229627</v>
      </c>
      <c r="Q24" s="18"/>
    </row>
    <row r="25" spans="1:17" ht="12.75" customHeight="1">
      <c r="A25" s="22" t="s">
        <v>30</v>
      </c>
      <c r="B25" s="29"/>
      <c r="C25" s="29"/>
      <c r="D25" s="29"/>
      <c r="E25" s="30">
        <v>155663</v>
      </c>
      <c r="F25" s="24">
        <f>SUM(B25:E25)</f>
        <v>155663</v>
      </c>
      <c r="G25" s="29"/>
      <c r="H25" s="29"/>
      <c r="I25" s="29"/>
      <c r="J25" s="29">
        <v>155149</v>
      </c>
      <c r="K25" s="24">
        <f>SUM(G25:J25)</f>
        <v>155149</v>
      </c>
      <c r="L25" s="25"/>
      <c r="M25" s="25"/>
      <c r="N25" s="25"/>
      <c r="O25" s="25"/>
      <c r="P25" s="26"/>
      <c r="Q25" s="18"/>
    </row>
    <row r="26" spans="1:17" ht="12.75" customHeight="1">
      <c r="A26" s="22" t="s">
        <v>19</v>
      </c>
      <c r="B26" s="27">
        <f t="shared" ref="B26:K26" si="13">+B27+B28</f>
        <v>0</v>
      </c>
      <c r="C26" s="27">
        <f t="shared" si="13"/>
        <v>1625655</v>
      </c>
      <c r="D26" s="27">
        <f t="shared" si="13"/>
        <v>0</v>
      </c>
      <c r="E26" s="27">
        <f t="shared" si="13"/>
        <v>4420448</v>
      </c>
      <c r="F26" s="27">
        <f t="shared" si="13"/>
        <v>6046103</v>
      </c>
      <c r="G26" s="27">
        <f t="shared" si="13"/>
        <v>0</v>
      </c>
      <c r="H26" s="27">
        <f t="shared" si="13"/>
        <v>1514737</v>
      </c>
      <c r="I26" s="27">
        <f t="shared" si="13"/>
        <v>0</v>
      </c>
      <c r="J26" s="27">
        <f t="shared" si="13"/>
        <v>4417685</v>
      </c>
      <c r="K26" s="27">
        <f t="shared" si="13"/>
        <v>5932422</v>
      </c>
      <c r="L26" s="27">
        <f t="shared" ref="L26:P26" si="14">+L27+L28</f>
        <v>0</v>
      </c>
      <c r="M26" s="27">
        <f t="shared" si="14"/>
        <v>110918</v>
      </c>
      <c r="N26" s="27"/>
      <c r="O26" s="27">
        <f t="shared" si="14"/>
        <v>2763</v>
      </c>
      <c r="P26" s="28">
        <f t="shared" si="14"/>
        <v>113681</v>
      </c>
      <c r="Q26" s="18"/>
    </row>
    <row r="27" spans="1:17" ht="12.75" customHeight="1">
      <c r="A27" s="23" t="s">
        <v>20</v>
      </c>
      <c r="B27" s="29"/>
      <c r="C27" s="29">
        <v>1625655</v>
      </c>
      <c r="D27" s="29"/>
      <c r="E27" s="30">
        <v>3920448</v>
      </c>
      <c r="F27" s="24">
        <f>SUM(B27:E27)</f>
        <v>5546103</v>
      </c>
      <c r="G27" s="29">
        <f>2210-2210</f>
        <v>0</v>
      </c>
      <c r="H27" s="29">
        <f>1153408+2210+359119</f>
        <v>1514737</v>
      </c>
      <c r="I27" s="29"/>
      <c r="J27" s="29">
        <f>4776804-497237-359119</f>
        <v>3920448</v>
      </c>
      <c r="K27" s="24">
        <f>SUM(G27:J27)</f>
        <v>5435185</v>
      </c>
      <c r="L27" s="25">
        <f>+B27-G27</f>
        <v>0</v>
      </c>
      <c r="M27" s="25">
        <f>+C27-H27</f>
        <v>110918</v>
      </c>
      <c r="N27" s="25"/>
      <c r="O27" s="25">
        <f>+E27-J27</f>
        <v>0</v>
      </c>
      <c r="P27" s="26">
        <f>SUM(L27:O27)</f>
        <v>110918</v>
      </c>
      <c r="Q27" s="18"/>
    </row>
    <row r="28" spans="1:17" ht="12.75" customHeight="1">
      <c r="A28" s="23" t="s">
        <v>21</v>
      </c>
      <c r="B28" s="29"/>
      <c r="C28" s="29"/>
      <c r="D28" s="29"/>
      <c r="E28" s="30">
        <v>500000</v>
      </c>
      <c r="F28" s="24">
        <f>SUM(B28:E28)</f>
        <v>500000</v>
      </c>
      <c r="G28" s="29"/>
      <c r="H28" s="29"/>
      <c r="I28" s="29"/>
      <c r="J28" s="29">
        <v>497237</v>
      </c>
      <c r="K28" s="24">
        <f>SUM(G28:J28)</f>
        <v>497237</v>
      </c>
      <c r="L28" s="25">
        <f>+B28-G28</f>
        <v>0</v>
      </c>
      <c r="M28" s="25">
        <f>+C28-H28</f>
        <v>0</v>
      </c>
      <c r="N28" s="25"/>
      <c r="O28" s="25">
        <f>+E28-J28</f>
        <v>2763</v>
      </c>
      <c r="P28" s="26">
        <f>SUM(L28:O28)</f>
        <v>2763</v>
      </c>
      <c r="Q28" s="18"/>
    </row>
    <row r="29" spans="1:17" ht="12.75" customHeight="1">
      <c r="A29" s="33"/>
      <c r="B29" s="25"/>
      <c r="C29" s="25"/>
      <c r="D29" s="25"/>
      <c r="E29" s="43"/>
      <c r="F29" s="24"/>
      <c r="G29" s="47"/>
      <c r="H29" s="47"/>
      <c r="I29" s="47"/>
      <c r="J29" s="47"/>
      <c r="K29" s="32"/>
      <c r="L29" s="25"/>
      <c r="M29" s="25"/>
      <c r="N29" s="25"/>
      <c r="O29" s="25"/>
      <c r="P29" s="26"/>
      <c r="Q29" s="18"/>
    </row>
    <row r="30" spans="1:17" ht="12.75" customHeight="1">
      <c r="A30" s="33" t="s">
        <v>74</v>
      </c>
      <c r="B30" s="17">
        <f t="shared" ref="B30:K30" si="15">+B31+B35</f>
        <v>148627</v>
      </c>
      <c r="C30" s="17">
        <f t="shared" si="15"/>
        <v>190454</v>
      </c>
      <c r="D30" s="17">
        <f t="shared" si="15"/>
        <v>0</v>
      </c>
      <c r="E30" s="17">
        <f t="shared" si="15"/>
        <v>4717</v>
      </c>
      <c r="F30" s="17">
        <f t="shared" si="15"/>
        <v>343798</v>
      </c>
      <c r="G30" s="17">
        <f t="shared" si="15"/>
        <v>127164</v>
      </c>
      <c r="H30" s="17">
        <f t="shared" si="15"/>
        <v>148298</v>
      </c>
      <c r="I30" s="17">
        <f t="shared" si="15"/>
        <v>0</v>
      </c>
      <c r="J30" s="17">
        <f t="shared" si="15"/>
        <v>4689</v>
      </c>
      <c r="K30" s="17">
        <f t="shared" si="15"/>
        <v>280151</v>
      </c>
      <c r="L30" s="17">
        <f>+L31+L35</f>
        <v>21463</v>
      </c>
      <c r="M30" s="17">
        <f>+M31+M35</f>
        <v>42156</v>
      </c>
      <c r="N30" s="17"/>
      <c r="O30" s="17">
        <f>+O31+O35</f>
        <v>28</v>
      </c>
      <c r="P30" s="17">
        <f>+P31+P35</f>
        <v>63647</v>
      </c>
      <c r="Q30" s="18">
        <f>+K30/F30</f>
        <v>0.81487094165760121</v>
      </c>
    </row>
    <row r="31" spans="1:17" ht="12.75" customHeight="1">
      <c r="A31" s="41" t="s">
        <v>15</v>
      </c>
      <c r="B31" s="20">
        <f t="shared" ref="B31:K31" si="16">+B32+B33+B34</f>
        <v>148627</v>
      </c>
      <c r="C31" s="20">
        <f t="shared" si="16"/>
        <v>190454</v>
      </c>
      <c r="D31" s="20">
        <f t="shared" si="16"/>
        <v>0</v>
      </c>
      <c r="E31" s="20">
        <f t="shared" si="16"/>
        <v>4717</v>
      </c>
      <c r="F31" s="20">
        <f t="shared" si="16"/>
        <v>343798</v>
      </c>
      <c r="G31" s="20">
        <f t="shared" si="16"/>
        <v>127164</v>
      </c>
      <c r="H31" s="20">
        <f t="shared" si="16"/>
        <v>148298</v>
      </c>
      <c r="I31" s="20">
        <f t="shared" si="16"/>
        <v>0</v>
      </c>
      <c r="J31" s="20">
        <f t="shared" si="16"/>
        <v>4689</v>
      </c>
      <c r="K31" s="20">
        <f t="shared" si="16"/>
        <v>280151</v>
      </c>
      <c r="L31" s="20">
        <f>+L32+L33+L34</f>
        <v>21463</v>
      </c>
      <c r="M31" s="20">
        <f>+M32+M33+M34</f>
        <v>42156</v>
      </c>
      <c r="N31" s="20"/>
      <c r="O31" s="20">
        <f>+O32+O33+O34</f>
        <v>28</v>
      </c>
      <c r="P31" s="21">
        <f>+P32+P33+P34</f>
        <v>63647</v>
      </c>
      <c r="Q31" s="18"/>
    </row>
    <row r="32" spans="1:17" ht="12.75" customHeight="1">
      <c r="A32" s="22" t="s">
        <v>16</v>
      </c>
      <c r="B32" s="29">
        <v>104643</v>
      </c>
      <c r="C32" s="29">
        <v>190454</v>
      </c>
      <c r="D32" s="29"/>
      <c r="E32" s="30">
        <v>4717</v>
      </c>
      <c r="F32" s="24">
        <f>SUM(B32:E32)</f>
        <v>299814</v>
      </c>
      <c r="G32" s="29">
        <f>117587-12944</f>
        <v>104643</v>
      </c>
      <c r="H32" s="29">
        <v>148298</v>
      </c>
      <c r="I32" s="29"/>
      <c r="J32" s="29">
        <v>4689</v>
      </c>
      <c r="K32" s="24">
        <f>SUM(G32:J32)</f>
        <v>257630</v>
      </c>
      <c r="L32" s="25">
        <f t="shared" ref="L32:M34" si="17">+B32-G32</f>
        <v>0</v>
      </c>
      <c r="M32" s="25">
        <f t="shared" si="17"/>
        <v>42156</v>
      </c>
      <c r="N32" s="25"/>
      <c r="O32" s="25">
        <f>+E32-J32</f>
        <v>28</v>
      </c>
      <c r="P32" s="26">
        <f>SUM(L32:O32)</f>
        <v>42184</v>
      </c>
      <c r="Q32" s="18"/>
    </row>
    <row r="33" spans="1:17" ht="12.75" customHeight="1">
      <c r="A33" s="22" t="s">
        <v>17</v>
      </c>
      <c r="B33" s="29">
        <v>34617</v>
      </c>
      <c r="C33" s="34"/>
      <c r="D33" s="34"/>
      <c r="E33" s="30"/>
      <c r="F33" s="24">
        <f>SUM(B33:E33)</f>
        <v>34617</v>
      </c>
      <c r="G33" s="29">
        <f>12944+210</f>
        <v>13154</v>
      </c>
      <c r="H33" s="34"/>
      <c r="I33" s="34"/>
      <c r="J33" s="34"/>
      <c r="K33" s="24">
        <f>SUM(G33:J33)</f>
        <v>13154</v>
      </c>
      <c r="L33" s="25">
        <f t="shared" si="17"/>
        <v>21463</v>
      </c>
      <c r="M33" s="25">
        <f t="shared" si="17"/>
        <v>0</v>
      </c>
      <c r="N33" s="25"/>
      <c r="O33" s="25">
        <f>+E33-J33</f>
        <v>0</v>
      </c>
      <c r="P33" s="26">
        <f>SUM(L33:O33)</f>
        <v>21463</v>
      </c>
      <c r="Q33" s="18"/>
    </row>
    <row r="34" spans="1:17" ht="12.75" customHeight="1">
      <c r="A34" s="22" t="s">
        <v>18</v>
      </c>
      <c r="B34" s="29">
        <v>9367</v>
      </c>
      <c r="C34" s="34"/>
      <c r="D34" s="34"/>
      <c r="E34" s="30"/>
      <c r="F34" s="24">
        <f>SUM(B34:E34)</f>
        <v>9367</v>
      </c>
      <c r="G34" s="29">
        <f>9577-210</f>
        <v>9367</v>
      </c>
      <c r="H34" s="34"/>
      <c r="I34" s="34"/>
      <c r="J34" s="34"/>
      <c r="K34" s="24">
        <f>SUM(G34:J34)</f>
        <v>9367</v>
      </c>
      <c r="L34" s="25">
        <f t="shared" si="17"/>
        <v>0</v>
      </c>
      <c r="M34" s="25">
        <f t="shared" si="17"/>
        <v>0</v>
      </c>
      <c r="N34" s="25"/>
      <c r="O34" s="25">
        <f>+E34-J34</f>
        <v>0</v>
      </c>
      <c r="P34" s="26">
        <f>SUM(L34:O34)</f>
        <v>0</v>
      </c>
      <c r="Q34" s="18"/>
    </row>
    <row r="35" spans="1:17" ht="12.75" customHeight="1">
      <c r="A35" s="22" t="s">
        <v>19</v>
      </c>
      <c r="B35" s="27">
        <f t="shared" ref="B35:K35" si="18">+B36+B37</f>
        <v>0</v>
      </c>
      <c r="C35" s="27">
        <f t="shared" si="18"/>
        <v>0</v>
      </c>
      <c r="D35" s="27">
        <f t="shared" si="18"/>
        <v>0</v>
      </c>
      <c r="E35" s="27">
        <f t="shared" si="18"/>
        <v>0</v>
      </c>
      <c r="F35" s="27">
        <f t="shared" si="18"/>
        <v>0</v>
      </c>
      <c r="G35" s="27">
        <f t="shared" si="18"/>
        <v>0</v>
      </c>
      <c r="H35" s="27">
        <f t="shared" si="18"/>
        <v>0</v>
      </c>
      <c r="I35" s="27">
        <f t="shared" si="18"/>
        <v>0</v>
      </c>
      <c r="J35" s="27">
        <f t="shared" si="18"/>
        <v>0</v>
      </c>
      <c r="K35" s="27">
        <f t="shared" si="18"/>
        <v>0</v>
      </c>
      <c r="L35" s="27">
        <f t="shared" ref="L35:P35" si="19">+L36+L37</f>
        <v>0</v>
      </c>
      <c r="M35" s="27">
        <f t="shared" si="19"/>
        <v>0</v>
      </c>
      <c r="N35" s="27"/>
      <c r="O35" s="27">
        <f t="shared" si="19"/>
        <v>0</v>
      </c>
      <c r="P35" s="28">
        <f t="shared" si="19"/>
        <v>0</v>
      </c>
      <c r="Q35" s="18"/>
    </row>
    <row r="36" spans="1:17" ht="12.75" customHeight="1">
      <c r="A36" s="23" t="s">
        <v>20</v>
      </c>
      <c r="B36" s="29"/>
      <c r="C36" s="29"/>
      <c r="D36" s="29"/>
      <c r="E36" s="30"/>
      <c r="F36" s="24">
        <f>SUM(B36:E36)</f>
        <v>0</v>
      </c>
      <c r="G36" s="29"/>
      <c r="H36" s="29"/>
      <c r="I36" s="29"/>
      <c r="J36" s="29"/>
      <c r="K36" s="24">
        <f>SUM(G36:J36)</f>
        <v>0</v>
      </c>
      <c r="L36" s="25">
        <f>+B36-G36</f>
        <v>0</v>
      </c>
      <c r="M36" s="25">
        <f>+C36-H36</f>
        <v>0</v>
      </c>
      <c r="N36" s="25"/>
      <c r="O36" s="25">
        <f>+E36-J36</f>
        <v>0</v>
      </c>
      <c r="P36" s="26">
        <f>SUM(L36:O36)</f>
        <v>0</v>
      </c>
      <c r="Q36" s="18"/>
    </row>
    <row r="37" spans="1:17" ht="12.75" customHeight="1">
      <c r="A37" s="23" t="s">
        <v>21</v>
      </c>
      <c r="B37" s="29"/>
      <c r="C37" s="29"/>
      <c r="D37" s="29"/>
      <c r="E37" s="30"/>
      <c r="F37" s="24">
        <f>SUM(B37:E37)</f>
        <v>0</v>
      </c>
      <c r="G37" s="29"/>
      <c r="H37" s="29"/>
      <c r="I37" s="29"/>
      <c r="J37" s="29"/>
      <c r="K37" s="24">
        <f>SUM(G37:J37)</f>
        <v>0</v>
      </c>
      <c r="L37" s="25">
        <f>+B37-G37</f>
        <v>0</v>
      </c>
      <c r="M37" s="25">
        <f>+C37-H37</f>
        <v>0</v>
      </c>
      <c r="N37" s="25"/>
      <c r="O37" s="25">
        <f>+E37-J37</f>
        <v>0</v>
      </c>
      <c r="P37" s="26">
        <f>SUM(L37:O37)</f>
        <v>0</v>
      </c>
      <c r="Q37" s="18"/>
    </row>
    <row r="38" spans="1:17" ht="12.75" customHeight="1">
      <c r="A38" s="33"/>
      <c r="B38" s="25"/>
      <c r="C38" s="25"/>
      <c r="D38" s="25"/>
      <c r="E38" s="43"/>
      <c r="F38" s="24"/>
      <c r="G38" s="47"/>
      <c r="H38" s="47"/>
      <c r="I38" s="47"/>
      <c r="J38" s="47"/>
      <c r="K38" s="32"/>
      <c r="L38" s="25"/>
      <c r="M38" s="25"/>
      <c r="N38" s="25"/>
      <c r="O38" s="25"/>
      <c r="P38" s="26"/>
      <c r="Q38" s="18"/>
    </row>
    <row r="39" spans="1:17" ht="12.75" customHeight="1">
      <c r="A39" s="33" t="s">
        <v>359</v>
      </c>
      <c r="B39" s="17">
        <f t="shared" ref="B39:K39" si="20">+B40+B44</f>
        <v>54021</v>
      </c>
      <c r="C39" s="17">
        <f t="shared" si="20"/>
        <v>284816</v>
      </c>
      <c r="D39" s="17">
        <f t="shared" si="20"/>
        <v>0</v>
      </c>
      <c r="E39" s="17">
        <f t="shared" si="20"/>
        <v>4720</v>
      </c>
      <c r="F39" s="17">
        <f t="shared" si="20"/>
        <v>343557</v>
      </c>
      <c r="G39" s="17">
        <f t="shared" si="20"/>
        <v>54358</v>
      </c>
      <c r="H39" s="17">
        <f t="shared" si="20"/>
        <v>273882</v>
      </c>
      <c r="I39" s="17">
        <f t="shared" si="20"/>
        <v>0</v>
      </c>
      <c r="J39" s="17">
        <f t="shared" si="20"/>
        <v>4477</v>
      </c>
      <c r="K39" s="17">
        <f t="shared" si="20"/>
        <v>332717</v>
      </c>
      <c r="L39" s="17">
        <f>+L40+L44</f>
        <v>-337</v>
      </c>
      <c r="M39" s="17">
        <f>+M40+M44</f>
        <v>10934</v>
      </c>
      <c r="N39" s="17"/>
      <c r="O39" s="17">
        <f>+O40+O44</f>
        <v>243</v>
      </c>
      <c r="P39" s="17">
        <f>+P40+P44</f>
        <v>10840</v>
      </c>
      <c r="Q39" s="18">
        <f>+K39/F39</f>
        <v>0.96844773938531303</v>
      </c>
    </row>
    <row r="40" spans="1:17" ht="12.75" customHeight="1">
      <c r="A40" s="41" t="s">
        <v>15</v>
      </c>
      <c r="B40" s="20">
        <f t="shared" ref="B40:K40" si="21">+B41+B42+B43</f>
        <v>54021</v>
      </c>
      <c r="C40" s="20">
        <f t="shared" si="21"/>
        <v>284816</v>
      </c>
      <c r="D40" s="20">
        <f t="shared" si="21"/>
        <v>0</v>
      </c>
      <c r="E40" s="20">
        <f t="shared" si="21"/>
        <v>4720</v>
      </c>
      <c r="F40" s="20">
        <f t="shared" si="21"/>
        <v>343557</v>
      </c>
      <c r="G40" s="20">
        <f t="shared" si="21"/>
        <v>54358</v>
      </c>
      <c r="H40" s="20">
        <f t="shared" si="21"/>
        <v>273882</v>
      </c>
      <c r="I40" s="20">
        <f t="shared" si="21"/>
        <v>0</v>
      </c>
      <c r="J40" s="20">
        <f t="shared" si="21"/>
        <v>4477</v>
      </c>
      <c r="K40" s="20">
        <f t="shared" si="21"/>
        <v>332717</v>
      </c>
      <c r="L40" s="20">
        <f>+L41+L42+L43</f>
        <v>-337</v>
      </c>
      <c r="M40" s="20">
        <f>+M41+M42+M43</f>
        <v>10934</v>
      </c>
      <c r="N40" s="20"/>
      <c r="O40" s="20">
        <f>+O41+O42+O43</f>
        <v>243</v>
      </c>
      <c r="P40" s="21">
        <f>+P41+P42+P43</f>
        <v>10840</v>
      </c>
      <c r="Q40" s="18"/>
    </row>
    <row r="41" spans="1:17" ht="12.75" customHeight="1">
      <c r="A41" s="22" t="s">
        <v>16</v>
      </c>
      <c r="B41" s="29">
        <v>48960</v>
      </c>
      <c r="C41" s="29">
        <v>282518</v>
      </c>
      <c r="D41" s="29"/>
      <c r="E41" s="30">
        <v>4720</v>
      </c>
      <c r="F41" s="24">
        <f>SUM(B41:E41)</f>
        <v>336198</v>
      </c>
      <c r="G41" s="29">
        <v>49161</v>
      </c>
      <c r="H41" s="29">
        <v>273783</v>
      </c>
      <c r="I41" s="29"/>
      <c r="J41" s="29">
        <v>4477</v>
      </c>
      <c r="K41" s="24">
        <f>SUM(G41:J41)</f>
        <v>327421</v>
      </c>
      <c r="L41" s="25">
        <f t="shared" ref="L41:M43" si="22">+B41-G41</f>
        <v>-201</v>
      </c>
      <c r="M41" s="25">
        <f t="shared" si="22"/>
        <v>8735</v>
      </c>
      <c r="N41" s="25"/>
      <c r="O41" s="25">
        <f>+E41-J41</f>
        <v>243</v>
      </c>
      <c r="P41" s="26">
        <f>SUM(L41:O41)</f>
        <v>8777</v>
      </c>
      <c r="Q41" s="18"/>
    </row>
    <row r="42" spans="1:17" ht="12.75" customHeight="1">
      <c r="A42" s="22" t="s">
        <v>17</v>
      </c>
      <c r="B42" s="29">
        <v>1334</v>
      </c>
      <c r="C42" s="29">
        <v>2298</v>
      </c>
      <c r="D42" s="34"/>
      <c r="E42" s="30"/>
      <c r="F42" s="24">
        <f>SUM(B42:E42)</f>
        <v>3632</v>
      </c>
      <c r="G42" s="29">
        <v>1325</v>
      </c>
      <c r="H42" s="29">
        <v>99</v>
      </c>
      <c r="I42" s="34"/>
      <c r="J42" s="34"/>
      <c r="K42" s="24">
        <f>SUM(G42:J42)</f>
        <v>1424</v>
      </c>
      <c r="L42" s="25">
        <f t="shared" si="22"/>
        <v>9</v>
      </c>
      <c r="M42" s="25">
        <f t="shared" si="22"/>
        <v>2199</v>
      </c>
      <c r="N42" s="25"/>
      <c r="O42" s="25">
        <f>+E42-J42</f>
        <v>0</v>
      </c>
      <c r="P42" s="26">
        <f>SUM(L42:O42)</f>
        <v>2208</v>
      </c>
      <c r="Q42" s="18"/>
    </row>
    <row r="43" spans="1:17" ht="12.75" customHeight="1">
      <c r="A43" s="22" t="s">
        <v>18</v>
      </c>
      <c r="B43" s="29">
        <v>3727</v>
      </c>
      <c r="C43" s="34"/>
      <c r="D43" s="34"/>
      <c r="E43" s="35"/>
      <c r="F43" s="24">
        <f>SUM(B43:E43)</f>
        <v>3727</v>
      </c>
      <c r="G43" s="29">
        <v>3872</v>
      </c>
      <c r="H43" s="34"/>
      <c r="I43" s="34"/>
      <c r="J43" s="34"/>
      <c r="K43" s="24">
        <f>SUM(G43:J43)</f>
        <v>3872</v>
      </c>
      <c r="L43" s="25">
        <f t="shared" si="22"/>
        <v>-145</v>
      </c>
      <c r="M43" s="25">
        <f t="shared" si="22"/>
        <v>0</v>
      </c>
      <c r="N43" s="25"/>
      <c r="O43" s="25">
        <f>+E43-J43</f>
        <v>0</v>
      </c>
      <c r="P43" s="26">
        <f>SUM(L43:O43)</f>
        <v>-145</v>
      </c>
      <c r="Q43" s="18"/>
    </row>
    <row r="44" spans="1:17" ht="12.75" customHeight="1">
      <c r="A44" s="22" t="s">
        <v>19</v>
      </c>
      <c r="B44" s="27">
        <f t="shared" ref="B44:K44" si="23">+B45+B46</f>
        <v>0</v>
      </c>
      <c r="C44" s="27">
        <f t="shared" si="23"/>
        <v>0</v>
      </c>
      <c r="D44" s="27">
        <f t="shared" si="23"/>
        <v>0</v>
      </c>
      <c r="E44" s="27">
        <f t="shared" si="23"/>
        <v>0</v>
      </c>
      <c r="F44" s="27">
        <f t="shared" si="23"/>
        <v>0</v>
      </c>
      <c r="G44" s="27">
        <f t="shared" si="23"/>
        <v>0</v>
      </c>
      <c r="H44" s="27">
        <f t="shared" si="23"/>
        <v>0</v>
      </c>
      <c r="I44" s="27">
        <f t="shared" si="23"/>
        <v>0</v>
      </c>
      <c r="J44" s="27">
        <f t="shared" si="23"/>
        <v>0</v>
      </c>
      <c r="K44" s="27">
        <f t="shared" si="23"/>
        <v>0</v>
      </c>
      <c r="L44" s="27">
        <f>+L45+L46</f>
        <v>0</v>
      </c>
      <c r="M44" s="27">
        <f>+M45+M46</f>
        <v>0</v>
      </c>
      <c r="N44" s="27"/>
      <c r="O44" s="27">
        <f>+O45+O46</f>
        <v>0</v>
      </c>
      <c r="P44" s="28">
        <f>+P45+P46</f>
        <v>0</v>
      </c>
      <c r="Q44" s="18"/>
    </row>
    <row r="45" spans="1:17" ht="12.75" customHeight="1">
      <c r="A45" s="23" t="s">
        <v>20</v>
      </c>
      <c r="B45" s="29"/>
      <c r="C45" s="29"/>
      <c r="D45" s="29"/>
      <c r="E45" s="30"/>
      <c r="F45" s="24">
        <f>SUM(B45:E45)</f>
        <v>0</v>
      </c>
      <c r="G45" s="29"/>
      <c r="H45" s="29"/>
      <c r="I45" s="29"/>
      <c r="J45" s="29"/>
      <c r="K45" s="24">
        <f>SUM(G45:J45)</f>
        <v>0</v>
      </c>
      <c r="L45" s="25">
        <f>+B45-G45</f>
        <v>0</v>
      </c>
      <c r="M45" s="25">
        <f>+C45-H45</f>
        <v>0</v>
      </c>
      <c r="N45" s="25"/>
      <c r="O45" s="25">
        <f>+E45-J45</f>
        <v>0</v>
      </c>
      <c r="P45" s="26">
        <f>SUM(L45:O45)</f>
        <v>0</v>
      </c>
      <c r="Q45" s="18"/>
    </row>
    <row r="46" spans="1:17" ht="12.75" customHeight="1">
      <c r="A46" s="23" t="s">
        <v>21</v>
      </c>
      <c r="B46" s="29"/>
      <c r="C46" s="29"/>
      <c r="D46" s="29"/>
      <c r="E46" s="30"/>
      <c r="F46" s="24">
        <f>SUM(B46:E46)</f>
        <v>0</v>
      </c>
      <c r="G46" s="29"/>
      <c r="H46" s="29"/>
      <c r="I46" s="29"/>
      <c r="J46" s="29"/>
      <c r="K46" s="24">
        <f>SUM(G46:J46)</f>
        <v>0</v>
      </c>
      <c r="L46" s="25">
        <f>+B46-G46</f>
        <v>0</v>
      </c>
      <c r="M46" s="25">
        <f>+C46-H46</f>
        <v>0</v>
      </c>
      <c r="N46" s="25"/>
      <c r="O46" s="25">
        <f>+E46-J46</f>
        <v>0</v>
      </c>
      <c r="P46" s="26">
        <f>SUM(L46:O46)</f>
        <v>0</v>
      </c>
      <c r="Q46" s="18"/>
    </row>
    <row r="47" spans="1:17" ht="12.75" customHeight="1">
      <c r="A47" s="65"/>
      <c r="B47" s="44"/>
      <c r="C47" s="44"/>
      <c r="D47" s="44"/>
      <c r="E47" s="45"/>
      <c r="F47" s="77"/>
      <c r="G47" s="84"/>
      <c r="H47" s="84"/>
      <c r="I47" s="84"/>
      <c r="J47" s="84"/>
      <c r="K47" s="82"/>
      <c r="L47" s="44"/>
      <c r="M47" s="44"/>
      <c r="N47" s="44"/>
      <c r="O47" s="44"/>
      <c r="P47" s="75"/>
      <c r="Q47" s="76"/>
    </row>
    <row r="48" spans="1:17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  <row r="61" spans="1:1">
      <c r="A61" s="80"/>
    </row>
    <row r="62" spans="1:1">
      <c r="A62" s="80"/>
    </row>
    <row r="63" spans="1:1">
      <c r="A63" s="80"/>
    </row>
    <row r="64" spans="1:1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  <row r="1128" spans="1:1">
      <c r="A1128" s="80"/>
    </row>
    <row r="1129" spans="1:1">
      <c r="A1129" s="80"/>
    </row>
    <row r="1130" spans="1:1">
      <c r="A1130" s="80"/>
    </row>
    <row r="1131" spans="1:1">
      <c r="A1131" s="80"/>
    </row>
    <row r="1132" spans="1:1">
      <c r="A1132" s="80"/>
    </row>
    <row r="1133" spans="1:1">
      <c r="A1133" s="80"/>
    </row>
    <row r="1134" spans="1:1">
      <c r="A1134" s="80"/>
    </row>
    <row r="1135" spans="1:1">
      <c r="A1135" s="80"/>
    </row>
    <row r="1136" spans="1:1">
      <c r="A1136" s="80"/>
    </row>
    <row r="1137" spans="1:1">
      <c r="A1137" s="80"/>
    </row>
    <row r="1138" spans="1:1">
      <c r="A1138" s="80"/>
    </row>
    <row r="1139" spans="1:1">
      <c r="A1139" s="80"/>
    </row>
    <row r="1140" spans="1:1">
      <c r="A1140" s="80"/>
    </row>
    <row r="1141" spans="1:1">
      <c r="A1141" s="80"/>
    </row>
    <row r="1142" spans="1:1">
      <c r="A1142" s="80"/>
    </row>
    <row r="1143" spans="1:1">
      <c r="A1143" s="80"/>
    </row>
    <row r="1144" spans="1:1">
      <c r="A1144" s="80"/>
    </row>
    <row r="1145" spans="1:1">
      <c r="A1145" s="80"/>
    </row>
    <row r="1146" spans="1:1">
      <c r="A1146" s="80"/>
    </row>
    <row r="1147" spans="1:1">
      <c r="A1147" s="80"/>
    </row>
    <row r="1148" spans="1:1">
      <c r="A1148" s="80"/>
    </row>
    <row r="1149" spans="1:1">
      <c r="A1149" s="80"/>
    </row>
    <row r="1150" spans="1:1">
      <c r="A1150" s="80"/>
    </row>
    <row r="1151" spans="1:1">
      <c r="A1151" s="80"/>
    </row>
    <row r="1152" spans="1:1">
      <c r="A1152" s="80"/>
    </row>
    <row r="1153" spans="1:1">
      <c r="A1153" s="80"/>
    </row>
    <row r="1154" spans="1:1">
      <c r="A1154" s="80"/>
    </row>
    <row r="1155" spans="1:1">
      <c r="A1155" s="80"/>
    </row>
    <row r="1156" spans="1:1">
      <c r="A1156" s="80"/>
    </row>
    <row r="1157" spans="1:1">
      <c r="A1157" s="80"/>
    </row>
    <row r="1158" spans="1:1">
      <c r="A1158" s="80"/>
    </row>
    <row r="1159" spans="1:1">
      <c r="A1159" s="80"/>
    </row>
    <row r="1160" spans="1:1">
      <c r="A1160" s="80"/>
    </row>
    <row r="1161" spans="1:1">
      <c r="A1161" s="80"/>
    </row>
    <row r="1162" spans="1:1">
      <c r="A1162" s="80"/>
    </row>
    <row r="1163" spans="1:1">
      <c r="A1163" s="80"/>
    </row>
    <row r="1164" spans="1:1">
      <c r="A1164" s="80"/>
    </row>
    <row r="1165" spans="1:1">
      <c r="A1165" s="80"/>
    </row>
    <row r="1166" spans="1:1">
      <c r="A1166" s="80"/>
    </row>
    <row r="1167" spans="1:1">
      <c r="A1167" s="80"/>
    </row>
    <row r="1168" spans="1:1">
      <c r="A1168" s="80"/>
    </row>
    <row r="1169" spans="1:1">
      <c r="A1169" s="80"/>
    </row>
    <row r="1170" spans="1:1">
      <c r="A1170" s="80"/>
    </row>
    <row r="1171" spans="1:1">
      <c r="A1171" s="80"/>
    </row>
    <row r="1172" spans="1:1">
      <c r="A1172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2" fitToWidth="0" fitToHeight="0" orientation="landscape" r:id="rId1"/>
  <headerFooter alignWithMargins="0"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74"/>
  <sheetViews>
    <sheetView showRuler="0" zoomScaleSheetLayoutView="100" workbookViewId="0">
      <pane xSplit="1" ySplit="8" topLeftCell="B39" activePane="bottomRight" state="frozen"/>
      <selection activeCell="A1459" sqref="A1459"/>
      <selection pane="topRight" activeCell="A1459" sqref="A1459"/>
      <selection pane="bottomLeft" activeCell="A1459" sqref="A1459"/>
      <selection pane="bottomRight" activeCell="E51" sqref="E51"/>
    </sheetView>
  </sheetViews>
  <sheetFormatPr defaultRowHeight="12.75"/>
  <cols>
    <col min="1" max="1" width="33.57031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1" t="s">
        <v>75</v>
      </c>
      <c r="B10" s="17">
        <f t="shared" ref="B10:P10" si="0">+B11+B16+B15</f>
        <v>118962474</v>
      </c>
      <c r="C10" s="17">
        <f t="shared" si="0"/>
        <v>23566756</v>
      </c>
      <c r="D10" s="17"/>
      <c r="E10" s="17">
        <f t="shared" si="0"/>
        <v>16563199</v>
      </c>
      <c r="F10" s="17">
        <f t="shared" si="0"/>
        <v>159092429</v>
      </c>
      <c r="G10" s="17">
        <f t="shared" si="0"/>
        <v>118803943</v>
      </c>
      <c r="H10" s="17">
        <f t="shared" si="0"/>
        <v>19424749</v>
      </c>
      <c r="I10" s="17"/>
      <c r="J10" s="17">
        <f t="shared" si="0"/>
        <v>4807482</v>
      </c>
      <c r="K10" s="17">
        <f t="shared" si="0"/>
        <v>143036174</v>
      </c>
      <c r="L10" s="17">
        <f t="shared" si="0"/>
        <v>158531</v>
      </c>
      <c r="M10" s="17">
        <f t="shared" si="0"/>
        <v>4142007</v>
      </c>
      <c r="N10" s="17"/>
      <c r="O10" s="17">
        <f t="shared" si="0"/>
        <v>11755717</v>
      </c>
      <c r="P10" s="17">
        <f t="shared" si="0"/>
        <v>16056255</v>
      </c>
      <c r="Q10" s="18">
        <f>+K10/F10</f>
        <v>0.8990759327711314</v>
      </c>
    </row>
    <row r="11" spans="1:18" ht="12.75" customHeight="1">
      <c r="A11" s="41" t="s">
        <v>15</v>
      </c>
      <c r="B11" s="20">
        <f t="shared" ref="B11:P11" si="1">+B12+B13+B14</f>
        <v>118962474</v>
      </c>
      <c r="C11" s="20">
        <f t="shared" si="1"/>
        <v>19288937</v>
      </c>
      <c r="D11" s="20"/>
      <c r="E11" s="20">
        <f t="shared" si="1"/>
        <v>9819350</v>
      </c>
      <c r="F11" s="20">
        <f t="shared" si="1"/>
        <v>148070761</v>
      </c>
      <c r="G11" s="20">
        <f t="shared" si="1"/>
        <v>118803943</v>
      </c>
      <c r="H11" s="20">
        <f t="shared" si="1"/>
        <v>15660121</v>
      </c>
      <c r="I11" s="20"/>
      <c r="J11" s="20">
        <f t="shared" si="1"/>
        <v>794786</v>
      </c>
      <c r="K11" s="20">
        <f t="shared" si="1"/>
        <v>135258850</v>
      </c>
      <c r="L11" s="20">
        <f t="shared" si="1"/>
        <v>158531</v>
      </c>
      <c r="M11" s="20">
        <f t="shared" si="1"/>
        <v>3628816</v>
      </c>
      <c r="N11" s="20"/>
      <c r="O11" s="20">
        <f t="shared" si="1"/>
        <v>9024564</v>
      </c>
      <c r="P11" s="21">
        <f t="shared" si="1"/>
        <v>12811911</v>
      </c>
      <c r="Q11" s="18"/>
    </row>
    <row r="12" spans="1:18" ht="12.75" customHeight="1">
      <c r="A12" s="22" t="s">
        <v>16</v>
      </c>
      <c r="B12" s="23">
        <f t="shared" ref="B12:E14" si="2">+B22+B32+B41+B50+B59+B68+B77</f>
        <v>75038434</v>
      </c>
      <c r="C12" s="23">
        <f t="shared" si="2"/>
        <v>19060029</v>
      </c>
      <c r="D12" s="23"/>
      <c r="E12" s="23">
        <f t="shared" si="2"/>
        <v>5385133</v>
      </c>
      <c r="F12" s="24">
        <f>SUM(B12:E12)</f>
        <v>99483596</v>
      </c>
      <c r="G12" s="23">
        <f t="shared" ref="G12:J14" si="3">+G22+G32+G41+G50+G59+G68+G77</f>
        <v>74907431</v>
      </c>
      <c r="H12" s="23">
        <f t="shared" si="3"/>
        <v>15541703</v>
      </c>
      <c r="I12" s="23"/>
      <c r="J12" s="23">
        <f t="shared" si="3"/>
        <v>776986</v>
      </c>
      <c r="K12" s="24">
        <f>SUM(G12:J12)</f>
        <v>91226120</v>
      </c>
      <c r="L12" s="25">
        <f t="shared" ref="L12:M14" si="4">+B12-G12</f>
        <v>131003</v>
      </c>
      <c r="M12" s="25">
        <f t="shared" si="4"/>
        <v>3518326</v>
      </c>
      <c r="N12" s="25"/>
      <c r="O12" s="25">
        <f>+E12-J12</f>
        <v>4608147</v>
      </c>
      <c r="P12" s="26">
        <f>SUM(L12:O12)</f>
        <v>8257476</v>
      </c>
      <c r="Q12" s="18"/>
    </row>
    <row r="13" spans="1:18" ht="12.75" customHeight="1">
      <c r="A13" s="22" t="s">
        <v>17</v>
      </c>
      <c r="B13" s="23">
        <f t="shared" si="2"/>
        <v>43549820</v>
      </c>
      <c r="C13" s="23">
        <f t="shared" si="2"/>
        <v>174859</v>
      </c>
      <c r="D13" s="23"/>
      <c r="E13" s="23">
        <f t="shared" si="2"/>
        <v>1985717</v>
      </c>
      <c r="F13" s="24">
        <f>SUM(B13:E13)</f>
        <v>45710396</v>
      </c>
      <c r="G13" s="23">
        <f t="shared" si="3"/>
        <v>43545784</v>
      </c>
      <c r="H13" s="23">
        <f t="shared" si="3"/>
        <v>64369</v>
      </c>
      <c r="I13" s="23"/>
      <c r="J13" s="23">
        <f t="shared" si="3"/>
        <v>17800</v>
      </c>
      <c r="K13" s="24">
        <f>SUM(G13:J13)</f>
        <v>43627953</v>
      </c>
      <c r="L13" s="25">
        <f t="shared" si="4"/>
        <v>4036</v>
      </c>
      <c r="M13" s="25">
        <f t="shared" si="4"/>
        <v>110490</v>
      </c>
      <c r="N13" s="25"/>
      <c r="O13" s="25">
        <f>+E13-J13</f>
        <v>1967917</v>
      </c>
      <c r="P13" s="26">
        <f>SUM(L13:O13)</f>
        <v>2082443</v>
      </c>
      <c r="Q13" s="18"/>
    </row>
    <row r="14" spans="1:18" ht="12.75" customHeight="1">
      <c r="A14" s="22" t="s">
        <v>18</v>
      </c>
      <c r="B14" s="23">
        <f t="shared" si="2"/>
        <v>374220</v>
      </c>
      <c r="C14" s="23">
        <f t="shared" si="2"/>
        <v>54049</v>
      </c>
      <c r="D14" s="23"/>
      <c r="E14" s="23">
        <f t="shared" si="2"/>
        <v>2448500</v>
      </c>
      <c r="F14" s="24">
        <f>SUM(B14:E14)</f>
        <v>2876769</v>
      </c>
      <c r="G14" s="23">
        <f t="shared" si="3"/>
        <v>350728</v>
      </c>
      <c r="H14" s="23">
        <f t="shared" si="3"/>
        <v>54049</v>
      </c>
      <c r="I14" s="23"/>
      <c r="J14" s="23">
        <f t="shared" si="3"/>
        <v>0</v>
      </c>
      <c r="K14" s="24">
        <f>SUM(G14:J14)</f>
        <v>404777</v>
      </c>
      <c r="L14" s="25">
        <f t="shared" si="4"/>
        <v>23492</v>
      </c>
      <c r="M14" s="25">
        <f t="shared" si="4"/>
        <v>0</v>
      </c>
      <c r="N14" s="25"/>
      <c r="O14" s="25">
        <f>+E14-J14</f>
        <v>2448500</v>
      </c>
      <c r="P14" s="26">
        <f>SUM(L14:O14)</f>
        <v>2471992</v>
      </c>
      <c r="Q14" s="18"/>
    </row>
    <row r="15" spans="1:18" ht="12.75" customHeight="1">
      <c r="A15" s="22" t="s">
        <v>30</v>
      </c>
      <c r="B15" s="23">
        <f t="shared" ref="B15:P15" si="5">+B25</f>
        <v>0</v>
      </c>
      <c r="C15" s="23">
        <f t="shared" si="5"/>
        <v>2485755</v>
      </c>
      <c r="D15" s="23"/>
      <c r="E15" s="23">
        <f t="shared" si="5"/>
        <v>0</v>
      </c>
      <c r="F15" s="23">
        <f t="shared" si="5"/>
        <v>2485755</v>
      </c>
      <c r="G15" s="23">
        <f t="shared" si="5"/>
        <v>0</v>
      </c>
      <c r="H15" s="23">
        <f t="shared" si="5"/>
        <v>2484633</v>
      </c>
      <c r="I15" s="23"/>
      <c r="J15" s="23">
        <f t="shared" si="5"/>
        <v>0</v>
      </c>
      <c r="K15" s="23">
        <f t="shared" si="5"/>
        <v>2484633</v>
      </c>
      <c r="L15" s="23">
        <f t="shared" si="5"/>
        <v>0</v>
      </c>
      <c r="M15" s="23">
        <f t="shared" si="5"/>
        <v>1122</v>
      </c>
      <c r="N15" s="23"/>
      <c r="O15" s="23">
        <f t="shared" si="5"/>
        <v>0</v>
      </c>
      <c r="P15" s="23">
        <f t="shared" si="5"/>
        <v>1122</v>
      </c>
      <c r="Q15" s="18"/>
    </row>
    <row r="16" spans="1:18" ht="12.75" customHeight="1">
      <c r="A16" s="22" t="s">
        <v>19</v>
      </c>
      <c r="B16" s="44">
        <f t="shared" ref="B16:P16" si="6">+B17+B18</f>
        <v>0</v>
      </c>
      <c r="C16" s="44">
        <f t="shared" si="6"/>
        <v>1792064</v>
      </c>
      <c r="D16" s="44"/>
      <c r="E16" s="45">
        <f t="shared" si="6"/>
        <v>6743849</v>
      </c>
      <c r="F16" s="44">
        <f t="shared" si="6"/>
        <v>8535913</v>
      </c>
      <c r="G16" s="44">
        <f t="shared" si="6"/>
        <v>0</v>
      </c>
      <c r="H16" s="44">
        <f t="shared" si="6"/>
        <v>1279995</v>
      </c>
      <c r="I16" s="44"/>
      <c r="J16" s="45">
        <f t="shared" si="6"/>
        <v>4012696</v>
      </c>
      <c r="K16" s="44">
        <f t="shared" si="6"/>
        <v>5292691</v>
      </c>
      <c r="L16" s="44">
        <f t="shared" si="6"/>
        <v>0</v>
      </c>
      <c r="M16" s="44">
        <f t="shared" si="6"/>
        <v>512069</v>
      </c>
      <c r="N16" s="44"/>
      <c r="O16" s="44">
        <f t="shared" si="6"/>
        <v>2731153</v>
      </c>
      <c r="P16" s="45">
        <f t="shared" si="6"/>
        <v>3243222</v>
      </c>
      <c r="Q16" s="18"/>
    </row>
    <row r="17" spans="1:17" ht="12.75" customHeight="1">
      <c r="A17" s="23" t="s">
        <v>20</v>
      </c>
      <c r="B17" s="23">
        <f t="shared" ref="B17:E18" si="7">+B27+B36+B45+B54+B63+B72+B81</f>
        <v>0</v>
      </c>
      <c r="C17" s="23">
        <f t="shared" si="7"/>
        <v>1324332</v>
      </c>
      <c r="D17" s="23"/>
      <c r="E17" s="23">
        <f t="shared" si="7"/>
        <v>6743849</v>
      </c>
      <c r="F17" s="24">
        <f>SUM(B17:E17)</f>
        <v>8068181</v>
      </c>
      <c r="G17" s="23">
        <f t="shared" ref="G17:J18" si="8">+G27+G36+G45+G54+G63+G72+G81</f>
        <v>0</v>
      </c>
      <c r="H17" s="23">
        <f t="shared" si="8"/>
        <v>930099</v>
      </c>
      <c r="I17" s="23"/>
      <c r="J17" s="23">
        <f t="shared" si="8"/>
        <v>4012696</v>
      </c>
      <c r="K17" s="24">
        <f>SUM(G17:J17)</f>
        <v>4942795</v>
      </c>
      <c r="L17" s="25">
        <f>+B17-G17</f>
        <v>0</v>
      </c>
      <c r="M17" s="25">
        <f>+C17-H17</f>
        <v>394233</v>
      </c>
      <c r="N17" s="25"/>
      <c r="O17" s="25">
        <f>+E17-J17</f>
        <v>2731153</v>
      </c>
      <c r="P17" s="26">
        <f>SUM(L17:O17)</f>
        <v>3125386</v>
      </c>
      <c r="Q17" s="18"/>
    </row>
    <row r="18" spans="1:17" ht="12.75" customHeight="1">
      <c r="A18" s="23" t="s">
        <v>21</v>
      </c>
      <c r="B18" s="23">
        <f t="shared" si="7"/>
        <v>0</v>
      </c>
      <c r="C18" s="23">
        <f t="shared" si="7"/>
        <v>467732</v>
      </c>
      <c r="D18" s="23"/>
      <c r="E18" s="23">
        <f t="shared" si="7"/>
        <v>0</v>
      </c>
      <c r="F18" s="24">
        <f>SUM(B18:E18)</f>
        <v>467732</v>
      </c>
      <c r="G18" s="23">
        <f t="shared" si="8"/>
        <v>0</v>
      </c>
      <c r="H18" s="23">
        <f t="shared" si="8"/>
        <v>349896</v>
      </c>
      <c r="I18" s="23"/>
      <c r="J18" s="23">
        <f t="shared" si="8"/>
        <v>0</v>
      </c>
      <c r="K18" s="24">
        <f>SUM(G18:J18)</f>
        <v>349896</v>
      </c>
      <c r="L18" s="25">
        <f>+B18-G18</f>
        <v>0</v>
      </c>
      <c r="M18" s="25">
        <f>+C18-H18</f>
        <v>117836</v>
      </c>
      <c r="N18" s="25"/>
      <c r="O18" s="25">
        <f>+E18-J18</f>
        <v>0</v>
      </c>
      <c r="P18" s="26">
        <f>SUM(L18:O18)</f>
        <v>117836</v>
      </c>
      <c r="Q18" s="18"/>
    </row>
    <row r="19" spans="1:17" ht="12.75" customHeight="1">
      <c r="A19" s="22"/>
      <c r="B19" s="25"/>
      <c r="C19" s="25"/>
      <c r="D19" s="25"/>
      <c r="E19" s="43"/>
      <c r="F19" s="24"/>
      <c r="G19" s="25"/>
      <c r="H19" s="25"/>
      <c r="I19" s="25"/>
      <c r="J19" s="25"/>
      <c r="K19" s="24"/>
      <c r="L19" s="25"/>
      <c r="M19" s="25"/>
      <c r="N19" s="25"/>
      <c r="O19" s="25"/>
      <c r="P19" s="26"/>
      <c r="Q19" s="18"/>
    </row>
    <row r="20" spans="1:17" ht="12.75" customHeight="1">
      <c r="A20" s="33" t="s">
        <v>31</v>
      </c>
      <c r="B20" s="17">
        <f t="shared" ref="B20:K20" si="9">+B21+B26+B25</f>
        <v>2434206</v>
      </c>
      <c r="C20" s="17">
        <f t="shared" si="9"/>
        <v>10078063</v>
      </c>
      <c r="D20" s="17">
        <f t="shared" si="9"/>
        <v>0</v>
      </c>
      <c r="E20" s="17">
        <f t="shared" si="9"/>
        <v>4504302</v>
      </c>
      <c r="F20" s="17">
        <f t="shared" si="9"/>
        <v>17016571</v>
      </c>
      <c r="G20" s="17">
        <f t="shared" si="9"/>
        <v>2371978</v>
      </c>
      <c r="H20" s="17">
        <f t="shared" si="9"/>
        <v>7234063</v>
      </c>
      <c r="I20" s="17">
        <f t="shared" si="9"/>
        <v>0</v>
      </c>
      <c r="J20" s="17">
        <f t="shared" si="9"/>
        <v>2170440</v>
      </c>
      <c r="K20" s="17">
        <f t="shared" si="9"/>
        <v>11776481</v>
      </c>
      <c r="L20" s="17">
        <f t="shared" ref="L20:P20" si="10">+L21+L26+L25</f>
        <v>62228</v>
      </c>
      <c r="M20" s="17">
        <f t="shared" si="10"/>
        <v>2844000</v>
      </c>
      <c r="N20" s="17"/>
      <c r="O20" s="17">
        <f t="shared" si="10"/>
        <v>2333862</v>
      </c>
      <c r="P20" s="17">
        <f t="shared" si="10"/>
        <v>5240090</v>
      </c>
      <c r="Q20" s="18">
        <f>+K20/F20</f>
        <v>0.69205958121645073</v>
      </c>
    </row>
    <row r="21" spans="1:17" ht="12.75" customHeight="1">
      <c r="A21" s="41" t="s">
        <v>15</v>
      </c>
      <c r="B21" s="20">
        <f t="shared" ref="B21:K21" si="11">+B22+B23+B24</f>
        <v>2434206</v>
      </c>
      <c r="C21" s="20">
        <f t="shared" si="11"/>
        <v>6887687</v>
      </c>
      <c r="D21" s="20">
        <f t="shared" si="11"/>
        <v>0</v>
      </c>
      <c r="E21" s="20">
        <f t="shared" si="11"/>
        <v>2724367</v>
      </c>
      <c r="F21" s="20">
        <f t="shared" si="11"/>
        <v>12046260</v>
      </c>
      <c r="G21" s="20">
        <f t="shared" si="11"/>
        <v>2371978</v>
      </c>
      <c r="H21" s="20">
        <f t="shared" si="11"/>
        <v>4171501</v>
      </c>
      <c r="I21" s="20">
        <f t="shared" si="11"/>
        <v>0</v>
      </c>
      <c r="J21" s="20">
        <f t="shared" si="11"/>
        <v>398598</v>
      </c>
      <c r="K21" s="20">
        <f t="shared" si="11"/>
        <v>6942077</v>
      </c>
      <c r="L21" s="20">
        <f>+L22+L23+L24</f>
        <v>62228</v>
      </c>
      <c r="M21" s="20">
        <f>+M22+M23+M24</f>
        <v>2716186</v>
      </c>
      <c r="N21" s="20"/>
      <c r="O21" s="20">
        <f>+O22+O23+O24</f>
        <v>2325769</v>
      </c>
      <c r="P21" s="21">
        <f>+P22+P23+P24</f>
        <v>5104183</v>
      </c>
      <c r="Q21" s="18"/>
    </row>
    <row r="22" spans="1:17" ht="12.75" customHeight="1">
      <c r="A22" s="22" t="s">
        <v>16</v>
      </c>
      <c r="B22" s="29">
        <v>2039116</v>
      </c>
      <c r="C22" s="29">
        <v>6824256</v>
      </c>
      <c r="D22" s="29"/>
      <c r="E22" s="30">
        <v>765400</v>
      </c>
      <c r="F22" s="24">
        <f>SUM(B22:E22)</f>
        <v>9628772</v>
      </c>
      <c r="G22" s="29">
        <v>1991799</v>
      </c>
      <c r="H22" s="29">
        <v>4148644</v>
      </c>
      <c r="I22" s="29"/>
      <c r="J22" s="29">
        <v>380798</v>
      </c>
      <c r="K22" s="24">
        <f>SUM(G22:J22)</f>
        <v>6521241</v>
      </c>
      <c r="L22" s="25">
        <f t="shared" ref="L22:M25" si="12">+B22-G22</f>
        <v>47317</v>
      </c>
      <c r="M22" s="25">
        <f t="shared" si="12"/>
        <v>2675612</v>
      </c>
      <c r="N22" s="25"/>
      <c r="O22" s="25">
        <f>+E22-J22</f>
        <v>384602</v>
      </c>
      <c r="P22" s="26">
        <f>SUM(L22:O22)</f>
        <v>3107531</v>
      </c>
      <c r="Q22" s="18"/>
    </row>
    <row r="23" spans="1:17" ht="12.75" customHeight="1">
      <c r="A23" s="22" t="s">
        <v>17</v>
      </c>
      <c r="B23" s="29">
        <v>204666</v>
      </c>
      <c r="C23" s="29">
        <v>63431</v>
      </c>
      <c r="D23" s="29"/>
      <c r="E23" s="30">
        <v>1958967</v>
      </c>
      <c r="F23" s="24">
        <f>SUM(B23:E23)</f>
        <v>2227064</v>
      </c>
      <c r="G23" s="29">
        <f>123688+78581+439</f>
        <v>202708</v>
      </c>
      <c r="H23" s="29">
        <f>22000+857</f>
        <v>22857</v>
      </c>
      <c r="I23" s="29"/>
      <c r="J23" s="29">
        <v>17800</v>
      </c>
      <c r="K23" s="24">
        <f>SUM(G23:J23)</f>
        <v>243365</v>
      </c>
      <c r="L23" s="25">
        <f t="shared" si="12"/>
        <v>1958</v>
      </c>
      <c r="M23" s="25">
        <f t="shared" si="12"/>
        <v>40574</v>
      </c>
      <c r="N23" s="25"/>
      <c r="O23" s="25">
        <f>+E23-J23</f>
        <v>1941167</v>
      </c>
      <c r="P23" s="26">
        <f>SUM(L23:O23)</f>
        <v>1983699</v>
      </c>
      <c r="Q23" s="18"/>
    </row>
    <row r="24" spans="1:17" ht="12.75" customHeight="1">
      <c r="A24" s="22" t="s">
        <v>18</v>
      </c>
      <c r="B24" s="29">
        <v>190424</v>
      </c>
      <c r="C24" s="29"/>
      <c r="D24" s="29"/>
      <c r="E24" s="30"/>
      <c r="F24" s="24">
        <f>SUM(B24:E24)</f>
        <v>190424</v>
      </c>
      <c r="G24" s="29">
        <v>177471</v>
      </c>
      <c r="H24" s="34"/>
      <c r="I24" s="34"/>
      <c r="J24" s="29"/>
      <c r="K24" s="24">
        <f>SUM(G24:J24)</f>
        <v>177471</v>
      </c>
      <c r="L24" s="25">
        <f t="shared" si="12"/>
        <v>12953</v>
      </c>
      <c r="M24" s="25">
        <f t="shared" si="12"/>
        <v>0</v>
      </c>
      <c r="N24" s="25"/>
      <c r="O24" s="25">
        <f>+E24-J24</f>
        <v>0</v>
      </c>
      <c r="P24" s="26">
        <f>SUM(L24:O24)</f>
        <v>12953</v>
      </c>
      <c r="Q24" s="18"/>
    </row>
    <row r="25" spans="1:17" ht="12.75" customHeight="1">
      <c r="A25" s="22" t="s">
        <v>30</v>
      </c>
      <c r="B25" s="29"/>
      <c r="C25" s="29">
        <v>2485755</v>
      </c>
      <c r="D25" s="29"/>
      <c r="E25" s="30"/>
      <c r="F25" s="24">
        <f>SUM(B25:E25)</f>
        <v>2485755</v>
      </c>
      <c r="G25" s="29"/>
      <c r="H25" s="29">
        <v>2484633</v>
      </c>
      <c r="I25" s="34"/>
      <c r="J25" s="29"/>
      <c r="K25" s="24">
        <f>SUM(G25:J25)</f>
        <v>2484633</v>
      </c>
      <c r="L25" s="25">
        <f t="shared" si="12"/>
        <v>0</v>
      </c>
      <c r="M25" s="25">
        <f t="shared" si="12"/>
        <v>1122</v>
      </c>
      <c r="N25" s="25"/>
      <c r="O25" s="25">
        <f>+E25-J25</f>
        <v>0</v>
      </c>
      <c r="P25" s="26">
        <f>SUM(L25:O25)</f>
        <v>1122</v>
      </c>
      <c r="Q25" s="18"/>
    </row>
    <row r="26" spans="1:17" ht="12.75" customHeight="1">
      <c r="A26" s="22" t="s">
        <v>19</v>
      </c>
      <c r="B26" s="27">
        <f t="shared" ref="B26:K26" si="13">+B27+B28</f>
        <v>0</v>
      </c>
      <c r="C26" s="27">
        <f t="shared" si="13"/>
        <v>704621</v>
      </c>
      <c r="D26" s="27">
        <f t="shared" si="13"/>
        <v>0</v>
      </c>
      <c r="E26" s="27">
        <f t="shared" si="13"/>
        <v>1779935</v>
      </c>
      <c r="F26" s="27">
        <f t="shared" si="13"/>
        <v>2484556</v>
      </c>
      <c r="G26" s="27">
        <f t="shared" si="13"/>
        <v>0</v>
      </c>
      <c r="H26" s="27">
        <f t="shared" si="13"/>
        <v>577929</v>
      </c>
      <c r="I26" s="27">
        <f t="shared" si="13"/>
        <v>0</v>
      </c>
      <c r="J26" s="27">
        <f t="shared" si="13"/>
        <v>1771842</v>
      </c>
      <c r="K26" s="27">
        <f t="shared" si="13"/>
        <v>2349771</v>
      </c>
      <c r="L26" s="27">
        <f t="shared" ref="L26:P26" si="14">+L27+L28</f>
        <v>0</v>
      </c>
      <c r="M26" s="27">
        <f t="shared" si="14"/>
        <v>126692</v>
      </c>
      <c r="N26" s="27"/>
      <c r="O26" s="27">
        <f t="shared" si="14"/>
        <v>8093</v>
      </c>
      <c r="P26" s="28">
        <f t="shared" si="14"/>
        <v>134785</v>
      </c>
      <c r="Q26" s="18"/>
    </row>
    <row r="27" spans="1:17" ht="12.75" customHeight="1">
      <c r="A27" s="23" t="s">
        <v>20</v>
      </c>
      <c r="B27" s="29"/>
      <c r="C27" s="29">
        <v>704330</v>
      </c>
      <c r="D27" s="29"/>
      <c r="E27" s="30">
        <v>1779935</v>
      </c>
      <c r="F27" s="24">
        <f>SUM(B27:E27)</f>
        <v>2484265</v>
      </c>
      <c r="G27" s="29"/>
      <c r="H27" s="29">
        <f>567133+10280+236</f>
        <v>577649</v>
      </c>
      <c r="I27" s="29"/>
      <c r="J27" s="29">
        <v>1771842</v>
      </c>
      <c r="K27" s="24">
        <f>SUM(G27:J27)</f>
        <v>2349491</v>
      </c>
      <c r="L27" s="25">
        <f>+B27-G27</f>
        <v>0</v>
      </c>
      <c r="M27" s="25">
        <f>+C27-H27</f>
        <v>126681</v>
      </c>
      <c r="N27" s="25"/>
      <c r="O27" s="25">
        <f>+E27-J27</f>
        <v>8093</v>
      </c>
      <c r="P27" s="26">
        <f>SUM(L27:O27)</f>
        <v>134774</v>
      </c>
      <c r="Q27" s="18"/>
    </row>
    <row r="28" spans="1:17" ht="12.75" customHeight="1">
      <c r="A28" s="23" t="s">
        <v>21</v>
      </c>
      <c r="B28" s="29"/>
      <c r="C28" s="29">
        <v>291</v>
      </c>
      <c r="D28" s="29"/>
      <c r="E28" s="30"/>
      <c r="F28" s="24">
        <f>SUM(B28:E28)</f>
        <v>291</v>
      </c>
      <c r="G28" s="31"/>
      <c r="H28" s="29">
        <v>280</v>
      </c>
      <c r="I28" s="29"/>
      <c r="J28" s="29"/>
      <c r="K28" s="24">
        <f>SUM(G28:J28)</f>
        <v>280</v>
      </c>
      <c r="L28" s="25">
        <f>+B28-G28</f>
        <v>0</v>
      </c>
      <c r="M28" s="25">
        <f>+C28-H28</f>
        <v>11</v>
      </c>
      <c r="N28" s="25"/>
      <c r="O28" s="25">
        <f>+E28-J28</f>
        <v>0</v>
      </c>
      <c r="P28" s="26">
        <f>SUM(L28:O28)</f>
        <v>11</v>
      </c>
      <c r="Q28" s="18"/>
    </row>
    <row r="29" spans="1:17" ht="12.75" customHeight="1">
      <c r="A29" s="33"/>
      <c r="B29" s="25"/>
      <c r="C29" s="25"/>
      <c r="D29" s="25"/>
      <c r="E29" s="43"/>
      <c r="F29" s="24"/>
      <c r="G29" s="47"/>
      <c r="H29" s="47"/>
      <c r="I29" s="47"/>
      <c r="J29" s="47"/>
      <c r="K29" s="32"/>
      <c r="L29" s="25"/>
      <c r="M29" s="25"/>
      <c r="N29" s="25"/>
      <c r="O29" s="25"/>
      <c r="P29" s="26"/>
      <c r="Q29" s="18"/>
    </row>
    <row r="30" spans="1:17" ht="12.75" customHeight="1">
      <c r="A30" s="33" t="s">
        <v>76</v>
      </c>
      <c r="B30" s="17">
        <f t="shared" ref="B30:K30" si="15">+B31+B35</f>
        <v>10158850</v>
      </c>
      <c r="C30" s="17">
        <f t="shared" si="15"/>
        <v>1492120</v>
      </c>
      <c r="D30" s="17">
        <f t="shared" si="15"/>
        <v>0</v>
      </c>
      <c r="E30" s="17">
        <f t="shared" si="15"/>
        <v>3942076</v>
      </c>
      <c r="F30" s="17">
        <f t="shared" si="15"/>
        <v>15593046</v>
      </c>
      <c r="G30" s="17">
        <f t="shared" si="15"/>
        <v>10155762</v>
      </c>
      <c r="H30" s="17">
        <f t="shared" si="15"/>
        <v>966179</v>
      </c>
      <c r="I30" s="17">
        <f t="shared" si="15"/>
        <v>0</v>
      </c>
      <c r="J30" s="17">
        <f t="shared" si="15"/>
        <v>72232</v>
      </c>
      <c r="K30" s="17">
        <f t="shared" si="15"/>
        <v>11194173</v>
      </c>
      <c r="L30" s="17">
        <f>+L31+L35</f>
        <v>3088</v>
      </c>
      <c r="M30" s="17">
        <f>+M31+M35</f>
        <v>525941</v>
      </c>
      <c r="N30" s="17"/>
      <c r="O30" s="17">
        <f>+O31+O35</f>
        <v>3869844</v>
      </c>
      <c r="P30" s="17">
        <f>+P31+P35</f>
        <v>4398873</v>
      </c>
      <c r="Q30" s="18">
        <f>+K30/F30</f>
        <v>0.71789520790229178</v>
      </c>
    </row>
    <row r="31" spans="1:17" ht="12.75" customHeight="1">
      <c r="A31" s="41" t="s">
        <v>15</v>
      </c>
      <c r="B31" s="20">
        <f t="shared" ref="B31:K31" si="16">+B32+B33+B34</f>
        <v>10158850</v>
      </c>
      <c r="C31" s="20">
        <f t="shared" si="16"/>
        <v>1150596</v>
      </c>
      <c r="D31" s="20">
        <f t="shared" si="16"/>
        <v>0</v>
      </c>
      <c r="E31" s="20">
        <f t="shared" si="16"/>
        <v>3803841</v>
      </c>
      <c r="F31" s="20">
        <f t="shared" si="16"/>
        <v>15113287</v>
      </c>
      <c r="G31" s="20">
        <f t="shared" si="16"/>
        <v>10155762</v>
      </c>
      <c r="H31" s="20">
        <f t="shared" si="16"/>
        <v>741034</v>
      </c>
      <c r="I31" s="20">
        <f t="shared" si="16"/>
        <v>0</v>
      </c>
      <c r="J31" s="20">
        <f t="shared" si="16"/>
        <v>0</v>
      </c>
      <c r="K31" s="20">
        <f t="shared" si="16"/>
        <v>10896796</v>
      </c>
      <c r="L31" s="20">
        <f>+L32+L33+L34</f>
        <v>3088</v>
      </c>
      <c r="M31" s="20">
        <f>+M32+M33+M34</f>
        <v>409562</v>
      </c>
      <c r="N31" s="20"/>
      <c r="O31" s="20">
        <f>+O32+O33+O34</f>
        <v>3803841</v>
      </c>
      <c r="P31" s="21">
        <f>+P32+P33+P34</f>
        <v>4216491</v>
      </c>
      <c r="Q31" s="18"/>
    </row>
    <row r="32" spans="1:17" ht="12.75" customHeight="1">
      <c r="A32" s="22" t="s">
        <v>16</v>
      </c>
      <c r="B32" s="29">
        <v>6274784</v>
      </c>
      <c r="C32" s="29">
        <v>1095200</v>
      </c>
      <c r="D32" s="29"/>
      <c r="E32" s="30">
        <v>1355341</v>
      </c>
      <c r="F32" s="24">
        <f>SUM(B32:E32)</f>
        <v>8725325</v>
      </c>
      <c r="G32" s="29">
        <f>6235002+38231</f>
        <v>6273233</v>
      </c>
      <c r="H32" s="29">
        <v>686985</v>
      </c>
      <c r="I32" s="29"/>
      <c r="J32" s="29"/>
      <c r="K32" s="24">
        <f>SUM(G32:J32)</f>
        <v>6960218</v>
      </c>
      <c r="L32" s="25">
        <f t="shared" ref="L32:M34" si="17">+B32-G32</f>
        <v>1551</v>
      </c>
      <c r="M32" s="25">
        <f t="shared" si="17"/>
        <v>408215</v>
      </c>
      <c r="N32" s="25"/>
      <c r="O32" s="25">
        <f>+E32-J32</f>
        <v>1355341</v>
      </c>
      <c r="P32" s="26">
        <f>SUM(L32:O32)</f>
        <v>1765107</v>
      </c>
      <c r="Q32" s="18"/>
    </row>
    <row r="33" spans="1:17" ht="12.75" customHeight="1">
      <c r="A33" s="22" t="s">
        <v>17</v>
      </c>
      <c r="B33" s="29">
        <v>3872862</v>
      </c>
      <c r="C33" s="29">
        <v>1347</v>
      </c>
      <c r="D33" s="34"/>
      <c r="E33" s="30"/>
      <c r="F33" s="24">
        <f>SUM(B33:E33)</f>
        <v>3874209</v>
      </c>
      <c r="G33" s="29">
        <f>3911081-38231</f>
        <v>3872850</v>
      </c>
      <c r="H33" s="34"/>
      <c r="I33" s="34"/>
      <c r="J33" s="34"/>
      <c r="K33" s="24">
        <f>SUM(G33:J33)</f>
        <v>3872850</v>
      </c>
      <c r="L33" s="25">
        <f t="shared" si="17"/>
        <v>12</v>
      </c>
      <c r="M33" s="25">
        <f t="shared" si="17"/>
        <v>1347</v>
      </c>
      <c r="N33" s="25"/>
      <c r="O33" s="25">
        <f>+E33-J33</f>
        <v>0</v>
      </c>
      <c r="P33" s="26">
        <f>SUM(L33:O33)</f>
        <v>1359</v>
      </c>
      <c r="Q33" s="18"/>
    </row>
    <row r="34" spans="1:17" ht="12.75" customHeight="1">
      <c r="A34" s="22" t="s">
        <v>18</v>
      </c>
      <c r="B34" s="29">
        <v>11204</v>
      </c>
      <c r="C34" s="29">
        <v>54049</v>
      </c>
      <c r="D34" s="29"/>
      <c r="E34" s="30">
        <v>2448500</v>
      </c>
      <c r="F34" s="24">
        <f>SUM(B34:E34)</f>
        <v>2513753</v>
      </c>
      <c r="G34" s="29">
        <v>9679</v>
      </c>
      <c r="H34" s="29">
        <v>54049</v>
      </c>
      <c r="I34" s="34"/>
      <c r="J34" s="34"/>
      <c r="K34" s="24">
        <f>SUM(G34:J34)</f>
        <v>63728</v>
      </c>
      <c r="L34" s="25">
        <f t="shared" si="17"/>
        <v>1525</v>
      </c>
      <c r="M34" s="25">
        <f t="shared" si="17"/>
        <v>0</v>
      </c>
      <c r="N34" s="25"/>
      <c r="O34" s="25">
        <f>+E34-J34</f>
        <v>2448500</v>
      </c>
      <c r="P34" s="26">
        <f>SUM(L34:O34)</f>
        <v>2450025</v>
      </c>
      <c r="Q34" s="18"/>
    </row>
    <row r="35" spans="1:17" ht="12.75" customHeight="1">
      <c r="A35" s="22" t="s">
        <v>19</v>
      </c>
      <c r="B35" s="27">
        <f t="shared" ref="B35:K35" si="18">+B36+B37</f>
        <v>0</v>
      </c>
      <c r="C35" s="27">
        <f t="shared" si="18"/>
        <v>341524</v>
      </c>
      <c r="D35" s="27">
        <f t="shared" si="18"/>
        <v>0</v>
      </c>
      <c r="E35" s="27">
        <f t="shared" si="18"/>
        <v>138235</v>
      </c>
      <c r="F35" s="27">
        <f t="shared" si="18"/>
        <v>479759</v>
      </c>
      <c r="G35" s="27">
        <f t="shared" si="18"/>
        <v>0</v>
      </c>
      <c r="H35" s="27">
        <f t="shared" si="18"/>
        <v>225145</v>
      </c>
      <c r="I35" s="27">
        <f t="shared" si="18"/>
        <v>0</v>
      </c>
      <c r="J35" s="27">
        <f t="shared" si="18"/>
        <v>72232</v>
      </c>
      <c r="K35" s="27">
        <f t="shared" si="18"/>
        <v>297377</v>
      </c>
      <c r="L35" s="27">
        <f t="shared" ref="L35:P35" si="19">+L36+L37</f>
        <v>0</v>
      </c>
      <c r="M35" s="27">
        <f t="shared" si="19"/>
        <v>116379</v>
      </c>
      <c r="N35" s="27"/>
      <c r="O35" s="27">
        <f t="shared" si="19"/>
        <v>66003</v>
      </c>
      <c r="P35" s="28">
        <f t="shared" si="19"/>
        <v>182382</v>
      </c>
      <c r="Q35" s="18"/>
    </row>
    <row r="36" spans="1:17" ht="12.75" customHeight="1">
      <c r="A36" s="23" t="s">
        <v>20</v>
      </c>
      <c r="B36" s="29"/>
      <c r="C36" s="29">
        <v>152431</v>
      </c>
      <c r="D36" s="29"/>
      <c r="E36" s="30">
        <v>138235</v>
      </c>
      <c r="F36" s="24">
        <f>SUM(B36:E36)</f>
        <v>290666</v>
      </c>
      <c r="G36" s="29"/>
      <c r="H36" s="29">
        <f>56992+89929+77137+727+360-H37</f>
        <v>152431</v>
      </c>
      <c r="I36" s="29"/>
      <c r="J36" s="29">
        <v>72232</v>
      </c>
      <c r="K36" s="24">
        <f>SUM(G36:J36)</f>
        <v>224663</v>
      </c>
      <c r="L36" s="25">
        <f>+B36-G36</f>
        <v>0</v>
      </c>
      <c r="M36" s="25">
        <f>+C36-H36</f>
        <v>0</v>
      </c>
      <c r="N36" s="25"/>
      <c r="O36" s="25">
        <f>+E36-J36</f>
        <v>66003</v>
      </c>
      <c r="P36" s="26">
        <f>SUM(L36:O36)</f>
        <v>66003</v>
      </c>
      <c r="Q36" s="18"/>
    </row>
    <row r="37" spans="1:17" ht="12.75" customHeight="1">
      <c r="A37" s="23" t="s">
        <v>21</v>
      </c>
      <c r="B37" s="29"/>
      <c r="C37" s="29">
        <v>189093</v>
      </c>
      <c r="D37" s="29"/>
      <c r="E37" s="30"/>
      <c r="F37" s="24">
        <f>SUM(B37:E37)</f>
        <v>189093</v>
      </c>
      <c r="G37" s="29"/>
      <c r="H37" s="29">
        <v>72714</v>
      </c>
      <c r="I37" s="29"/>
      <c r="J37" s="29"/>
      <c r="K37" s="24">
        <f>SUM(G37:J37)</f>
        <v>72714</v>
      </c>
      <c r="L37" s="25">
        <f>+B37-G37</f>
        <v>0</v>
      </c>
      <c r="M37" s="25">
        <f>+C37-H37</f>
        <v>116379</v>
      </c>
      <c r="N37" s="25"/>
      <c r="O37" s="25">
        <f>+E37-J37</f>
        <v>0</v>
      </c>
      <c r="P37" s="26">
        <f>SUM(L37:O37)</f>
        <v>116379</v>
      </c>
      <c r="Q37" s="18"/>
    </row>
    <row r="38" spans="1:17" ht="12.75" customHeight="1">
      <c r="A38" s="33"/>
      <c r="B38" s="25"/>
      <c r="C38" s="25"/>
      <c r="D38" s="25"/>
      <c r="E38" s="43"/>
      <c r="F38" s="24"/>
      <c r="G38" s="47"/>
      <c r="H38" s="47"/>
      <c r="I38" s="47"/>
      <c r="J38" s="47"/>
      <c r="K38" s="32"/>
      <c r="L38" s="25"/>
      <c r="M38" s="25"/>
      <c r="N38" s="25"/>
      <c r="O38" s="25"/>
      <c r="P38" s="26"/>
      <c r="Q38" s="18"/>
    </row>
    <row r="39" spans="1:17" ht="12.75" customHeight="1">
      <c r="A39" s="215" t="s">
        <v>77</v>
      </c>
      <c r="B39" s="17">
        <f t="shared" ref="B39:K39" si="20">+B40+B44</f>
        <v>5525610</v>
      </c>
      <c r="C39" s="17">
        <f t="shared" si="20"/>
        <v>2449085</v>
      </c>
      <c r="D39" s="17">
        <f t="shared" si="20"/>
        <v>0</v>
      </c>
      <c r="E39" s="17">
        <f t="shared" si="20"/>
        <v>152718</v>
      </c>
      <c r="F39" s="17">
        <f t="shared" si="20"/>
        <v>8127413</v>
      </c>
      <c r="G39" s="17">
        <f t="shared" si="20"/>
        <v>5525496</v>
      </c>
      <c r="H39" s="17">
        <f t="shared" si="20"/>
        <v>2366240</v>
      </c>
      <c r="I39" s="17">
        <f t="shared" si="20"/>
        <v>0</v>
      </c>
      <c r="J39" s="17">
        <f t="shared" si="20"/>
        <v>103564</v>
      </c>
      <c r="K39" s="17">
        <f t="shared" si="20"/>
        <v>7995300</v>
      </c>
      <c r="L39" s="17">
        <f>+L40+L44</f>
        <v>114</v>
      </c>
      <c r="M39" s="17">
        <f>+M40+M44</f>
        <v>82845</v>
      </c>
      <c r="N39" s="17"/>
      <c r="O39" s="17">
        <f>+O40+O44</f>
        <v>49154</v>
      </c>
      <c r="P39" s="17">
        <f>+P40+P44</f>
        <v>132113</v>
      </c>
      <c r="Q39" s="18">
        <f>+K39/F39</f>
        <v>0.98374476601595118</v>
      </c>
    </row>
    <row r="40" spans="1:17" ht="12.75" customHeight="1">
      <c r="A40" s="41" t="s">
        <v>15</v>
      </c>
      <c r="B40" s="20">
        <f t="shared" ref="B40:K40" si="21">+B41+B42+B43</f>
        <v>5525610</v>
      </c>
      <c r="C40" s="20">
        <f t="shared" si="21"/>
        <v>2390744</v>
      </c>
      <c r="D40" s="20">
        <f t="shared" si="21"/>
        <v>0</v>
      </c>
      <c r="E40" s="20">
        <f t="shared" si="21"/>
        <v>118968</v>
      </c>
      <c r="F40" s="20">
        <f t="shared" si="21"/>
        <v>8035322</v>
      </c>
      <c r="G40" s="20">
        <f t="shared" si="21"/>
        <v>5525496</v>
      </c>
      <c r="H40" s="20">
        <f t="shared" si="21"/>
        <v>2307899</v>
      </c>
      <c r="I40" s="20">
        <f t="shared" si="21"/>
        <v>0</v>
      </c>
      <c r="J40" s="20">
        <f t="shared" si="21"/>
        <v>69840</v>
      </c>
      <c r="K40" s="20">
        <f t="shared" si="21"/>
        <v>7903235</v>
      </c>
      <c r="L40" s="20">
        <f>+L41+L42+L43</f>
        <v>114</v>
      </c>
      <c r="M40" s="20">
        <f>+M41+M42+M43</f>
        <v>82845</v>
      </c>
      <c r="N40" s="20"/>
      <c r="O40" s="20">
        <f>+O41+O42+O43</f>
        <v>49128</v>
      </c>
      <c r="P40" s="21">
        <f>+P41+P42+P43</f>
        <v>132087</v>
      </c>
      <c r="Q40" s="18"/>
    </row>
    <row r="41" spans="1:17" ht="12.75" customHeight="1">
      <c r="A41" s="22" t="s">
        <v>16</v>
      </c>
      <c r="B41" s="29">
        <v>3778953</v>
      </c>
      <c r="C41" s="29">
        <v>2390744</v>
      </c>
      <c r="D41" s="29"/>
      <c r="E41" s="30">
        <v>100968</v>
      </c>
      <c r="F41" s="24">
        <f>SUM(B41:E41)</f>
        <v>6270665</v>
      </c>
      <c r="G41" s="29">
        <f>158646-390-53565-678-90404+17929+3921979-174564</f>
        <v>3778953</v>
      </c>
      <c r="H41" s="29">
        <f>82493+2225406</f>
        <v>2307899</v>
      </c>
      <c r="I41" s="29"/>
      <c r="J41" s="29">
        <f>4999+64841</f>
        <v>69840</v>
      </c>
      <c r="K41" s="24">
        <f>SUM(G41:J41)</f>
        <v>6156692</v>
      </c>
      <c r="L41" s="25">
        <f t="shared" ref="L41:M43" si="22">+B41-G41</f>
        <v>0</v>
      </c>
      <c r="M41" s="25">
        <f t="shared" si="22"/>
        <v>82845</v>
      </c>
      <c r="N41" s="25"/>
      <c r="O41" s="25">
        <f>+E41-J41</f>
        <v>31128</v>
      </c>
      <c r="P41" s="26">
        <f>SUM(L41:O41)</f>
        <v>113973</v>
      </c>
      <c r="Q41" s="18"/>
    </row>
    <row r="42" spans="1:17" ht="12.75" customHeight="1">
      <c r="A42" s="22" t="s">
        <v>17</v>
      </c>
      <c r="B42" s="29">
        <v>1743855</v>
      </c>
      <c r="C42" s="34"/>
      <c r="D42" s="34"/>
      <c r="E42" s="30">
        <v>18000</v>
      </c>
      <c r="F42" s="24">
        <f>SUM(B42:E42)</f>
        <v>1761855</v>
      </c>
      <c r="G42" s="29">
        <f>1424188+390+53565+678+90404+174564</f>
        <v>1743789</v>
      </c>
      <c r="H42" s="34"/>
      <c r="I42" s="34"/>
      <c r="J42" s="29"/>
      <c r="K42" s="24">
        <f>SUM(G42:J42)</f>
        <v>1743789</v>
      </c>
      <c r="L42" s="25">
        <f t="shared" si="22"/>
        <v>66</v>
      </c>
      <c r="M42" s="25">
        <f t="shared" si="22"/>
        <v>0</v>
      </c>
      <c r="N42" s="25"/>
      <c r="O42" s="25">
        <f>+E42-J42</f>
        <v>18000</v>
      </c>
      <c r="P42" s="26">
        <f>SUM(L42:O42)</f>
        <v>18066</v>
      </c>
      <c r="Q42" s="18"/>
    </row>
    <row r="43" spans="1:17" ht="12.75" customHeight="1">
      <c r="A43" s="22" t="s">
        <v>18</v>
      </c>
      <c r="B43" s="29">
        <v>2802</v>
      </c>
      <c r="C43" s="34"/>
      <c r="D43" s="34"/>
      <c r="E43" s="35"/>
      <c r="F43" s="24">
        <f>SUM(B43:E43)</f>
        <v>2802</v>
      </c>
      <c r="G43" s="29">
        <f>1263+1491</f>
        <v>2754</v>
      </c>
      <c r="H43" s="34"/>
      <c r="I43" s="34"/>
      <c r="J43" s="34"/>
      <c r="K43" s="24">
        <f>SUM(G43:J43)</f>
        <v>2754</v>
      </c>
      <c r="L43" s="25">
        <f t="shared" si="22"/>
        <v>48</v>
      </c>
      <c r="M43" s="25">
        <f t="shared" si="22"/>
        <v>0</v>
      </c>
      <c r="N43" s="25"/>
      <c r="O43" s="25">
        <f>+E43-J43</f>
        <v>0</v>
      </c>
      <c r="P43" s="26">
        <f>SUM(L43:O43)</f>
        <v>48</v>
      </c>
      <c r="Q43" s="18"/>
    </row>
    <row r="44" spans="1:17" ht="12.75" customHeight="1">
      <c r="A44" s="22" t="s">
        <v>19</v>
      </c>
      <c r="B44" s="27">
        <f t="shared" ref="B44:K44" si="23">+B45+B46</f>
        <v>0</v>
      </c>
      <c r="C44" s="27">
        <f t="shared" si="23"/>
        <v>58341</v>
      </c>
      <c r="D44" s="27">
        <f t="shared" si="23"/>
        <v>0</v>
      </c>
      <c r="E44" s="27">
        <f t="shared" si="23"/>
        <v>33750</v>
      </c>
      <c r="F44" s="27">
        <f t="shared" si="23"/>
        <v>92091</v>
      </c>
      <c r="G44" s="27">
        <f t="shared" si="23"/>
        <v>0</v>
      </c>
      <c r="H44" s="27">
        <f t="shared" si="23"/>
        <v>58341</v>
      </c>
      <c r="I44" s="27">
        <f t="shared" si="23"/>
        <v>0</v>
      </c>
      <c r="J44" s="27">
        <f t="shared" si="23"/>
        <v>33724</v>
      </c>
      <c r="K44" s="27">
        <f t="shared" si="23"/>
        <v>92065</v>
      </c>
      <c r="L44" s="27">
        <f>+L45+L46</f>
        <v>0</v>
      </c>
      <c r="M44" s="27">
        <f>+M45+M46</f>
        <v>0</v>
      </c>
      <c r="N44" s="27"/>
      <c r="O44" s="27">
        <f>+O45+O46</f>
        <v>26</v>
      </c>
      <c r="P44" s="28">
        <f>+P45+P46</f>
        <v>26</v>
      </c>
      <c r="Q44" s="18"/>
    </row>
    <row r="45" spans="1:17" ht="12.75" customHeight="1">
      <c r="A45" s="23" t="s">
        <v>20</v>
      </c>
      <c r="B45" s="29"/>
      <c r="C45" s="29">
        <f>37531+4676+683</f>
        <v>42890</v>
      </c>
      <c r="D45" s="29"/>
      <c r="E45" s="30">
        <v>33750</v>
      </c>
      <c r="F45" s="24">
        <f>SUM(B45:E45)</f>
        <v>76640</v>
      </c>
      <c r="G45" s="29"/>
      <c r="H45" s="29">
        <f>42207+683</f>
        <v>42890</v>
      </c>
      <c r="I45" s="29"/>
      <c r="J45" s="29">
        <v>33724</v>
      </c>
      <c r="K45" s="24">
        <f>SUM(G45:J45)</f>
        <v>76614</v>
      </c>
      <c r="L45" s="25">
        <f>+B45-G45</f>
        <v>0</v>
      </c>
      <c r="M45" s="25">
        <f>+C45-H45</f>
        <v>0</v>
      </c>
      <c r="N45" s="25"/>
      <c r="O45" s="25">
        <f>+E45-J45</f>
        <v>26</v>
      </c>
      <c r="P45" s="26">
        <f>SUM(L45:O45)</f>
        <v>26</v>
      </c>
      <c r="Q45" s="18"/>
    </row>
    <row r="46" spans="1:17" ht="12.75" customHeight="1">
      <c r="A46" s="23" t="s">
        <v>21</v>
      </c>
      <c r="B46" s="29"/>
      <c r="C46" s="29">
        <v>15451</v>
      </c>
      <c r="D46" s="29"/>
      <c r="E46" s="30"/>
      <c r="F46" s="24">
        <f>SUM(B46:E46)</f>
        <v>15451</v>
      </c>
      <c r="G46" s="29"/>
      <c r="H46" s="29">
        <f>16134-683</f>
        <v>15451</v>
      </c>
      <c r="I46" s="29"/>
      <c r="J46" s="29"/>
      <c r="K46" s="24">
        <f>SUM(G46:J46)</f>
        <v>15451</v>
      </c>
      <c r="L46" s="25">
        <f>+B46-G46</f>
        <v>0</v>
      </c>
      <c r="M46" s="25">
        <f>+C46-H46</f>
        <v>0</v>
      </c>
      <c r="N46" s="25"/>
      <c r="O46" s="25">
        <f>+E46-J46</f>
        <v>0</v>
      </c>
      <c r="P46" s="26">
        <f>SUM(L46:O46)</f>
        <v>0</v>
      </c>
      <c r="Q46" s="18"/>
    </row>
    <row r="47" spans="1:17" ht="12.75" customHeight="1">
      <c r="A47" s="33"/>
      <c r="B47" s="25"/>
      <c r="C47" s="25"/>
      <c r="D47" s="25"/>
      <c r="E47" s="43"/>
      <c r="F47" s="24"/>
      <c r="G47" s="47"/>
      <c r="H47" s="47"/>
      <c r="I47" s="47"/>
      <c r="J47" s="47"/>
      <c r="K47" s="32"/>
      <c r="L47" s="25"/>
      <c r="M47" s="25"/>
      <c r="N47" s="25"/>
      <c r="O47" s="25"/>
      <c r="P47" s="26"/>
      <c r="Q47" s="18"/>
    </row>
    <row r="48" spans="1:17" ht="12.75" customHeight="1">
      <c r="A48" s="33" t="s">
        <v>78</v>
      </c>
      <c r="B48" s="17">
        <f t="shared" ref="B48:K48" si="24">+B49+B53</f>
        <v>22771</v>
      </c>
      <c r="C48" s="17">
        <f t="shared" si="24"/>
        <v>131950</v>
      </c>
      <c r="D48" s="17">
        <f t="shared" si="24"/>
        <v>0</v>
      </c>
      <c r="E48" s="17">
        <f t="shared" si="24"/>
        <v>0</v>
      </c>
      <c r="F48" s="17">
        <f t="shared" si="24"/>
        <v>154721</v>
      </c>
      <c r="G48" s="17">
        <f t="shared" si="24"/>
        <v>22771</v>
      </c>
      <c r="H48" s="17">
        <f t="shared" si="24"/>
        <v>131830</v>
      </c>
      <c r="I48" s="17">
        <f t="shared" si="24"/>
        <v>0</v>
      </c>
      <c r="J48" s="17">
        <f t="shared" si="24"/>
        <v>0</v>
      </c>
      <c r="K48" s="17">
        <f t="shared" si="24"/>
        <v>154601</v>
      </c>
      <c r="L48" s="17">
        <f>+L49+L53</f>
        <v>0</v>
      </c>
      <c r="M48" s="17">
        <f>+M49+M53</f>
        <v>120</v>
      </c>
      <c r="N48" s="17"/>
      <c r="O48" s="17">
        <f>+O49+O53</f>
        <v>0</v>
      </c>
      <c r="P48" s="17">
        <f>+P49+P53</f>
        <v>120</v>
      </c>
      <c r="Q48" s="18">
        <f>+K48/F48</f>
        <v>0.99922441039031551</v>
      </c>
    </row>
    <row r="49" spans="1:17" ht="12.75" customHeight="1">
      <c r="A49" s="41" t="s">
        <v>15</v>
      </c>
      <c r="B49" s="20">
        <f t="shared" ref="B49:K49" si="25">+B50+B51+B52</f>
        <v>22771</v>
      </c>
      <c r="C49" s="20">
        <f t="shared" si="25"/>
        <v>131950</v>
      </c>
      <c r="D49" s="20">
        <f t="shared" si="25"/>
        <v>0</v>
      </c>
      <c r="E49" s="20">
        <f t="shared" si="25"/>
        <v>0</v>
      </c>
      <c r="F49" s="20">
        <f t="shared" si="25"/>
        <v>154721</v>
      </c>
      <c r="G49" s="20">
        <f t="shared" si="25"/>
        <v>22771</v>
      </c>
      <c r="H49" s="20">
        <f t="shared" si="25"/>
        <v>131830</v>
      </c>
      <c r="I49" s="20">
        <f t="shared" si="25"/>
        <v>0</v>
      </c>
      <c r="J49" s="20">
        <f t="shared" si="25"/>
        <v>0</v>
      </c>
      <c r="K49" s="20">
        <f t="shared" si="25"/>
        <v>154601</v>
      </c>
      <c r="L49" s="20">
        <f>+L50+L51+L52</f>
        <v>0</v>
      </c>
      <c r="M49" s="20">
        <f>+M50+M51+M52</f>
        <v>120</v>
      </c>
      <c r="N49" s="20"/>
      <c r="O49" s="20">
        <f>+O50+O51+O52</f>
        <v>0</v>
      </c>
      <c r="P49" s="21">
        <f>+P50+P51+P52</f>
        <v>120</v>
      </c>
      <c r="Q49" s="18"/>
    </row>
    <row r="50" spans="1:17" ht="12.75" customHeight="1">
      <c r="A50" s="22" t="s">
        <v>16</v>
      </c>
      <c r="B50" s="29">
        <v>17906</v>
      </c>
      <c r="C50" s="29">
        <v>131950</v>
      </c>
      <c r="D50" s="29"/>
      <c r="E50" s="30"/>
      <c r="F50" s="24">
        <f>SUM(B50:E50)</f>
        <v>149856</v>
      </c>
      <c r="G50" s="29">
        <v>17906</v>
      </c>
      <c r="H50" s="29">
        <v>131830</v>
      </c>
      <c r="I50" s="29"/>
      <c r="J50" s="29"/>
      <c r="K50" s="24">
        <f>SUM(G50:J50)</f>
        <v>149736</v>
      </c>
      <c r="L50" s="25">
        <f t="shared" ref="L50:M52" si="26">+B50-G50</f>
        <v>0</v>
      </c>
      <c r="M50" s="25">
        <f t="shared" si="26"/>
        <v>120</v>
      </c>
      <c r="N50" s="25"/>
      <c r="O50" s="25">
        <f>+E50-J50</f>
        <v>0</v>
      </c>
      <c r="P50" s="26">
        <f>SUM(L50:O50)</f>
        <v>120</v>
      </c>
      <c r="Q50" s="18"/>
    </row>
    <row r="51" spans="1:17" ht="12.75" customHeight="1">
      <c r="A51" s="22" t="s">
        <v>17</v>
      </c>
      <c r="B51" s="29">
        <v>2884</v>
      </c>
      <c r="C51" s="34"/>
      <c r="D51" s="34"/>
      <c r="E51" s="30"/>
      <c r="F51" s="24">
        <f>SUM(B51:E51)</f>
        <v>2884</v>
      </c>
      <c r="G51" s="29">
        <f>3323-439</f>
        <v>2884</v>
      </c>
      <c r="H51" s="34"/>
      <c r="I51" s="34"/>
      <c r="J51" s="34"/>
      <c r="K51" s="24">
        <f>SUM(G51:J51)</f>
        <v>2884</v>
      </c>
      <c r="L51" s="25">
        <f t="shared" si="26"/>
        <v>0</v>
      </c>
      <c r="M51" s="25">
        <f t="shared" si="26"/>
        <v>0</v>
      </c>
      <c r="N51" s="25"/>
      <c r="O51" s="25">
        <f>+E51-J51</f>
        <v>0</v>
      </c>
      <c r="P51" s="26">
        <f>SUM(L51:O51)</f>
        <v>0</v>
      </c>
      <c r="Q51" s="18"/>
    </row>
    <row r="52" spans="1:17" ht="12.75" customHeight="1">
      <c r="A52" s="22" t="s">
        <v>18</v>
      </c>
      <c r="B52" s="29">
        <v>1981</v>
      </c>
      <c r="C52" s="29"/>
      <c r="D52" s="29"/>
      <c r="E52" s="35"/>
      <c r="F52" s="24">
        <f>SUM(B52:E52)</f>
        <v>1981</v>
      </c>
      <c r="G52" s="29">
        <v>1981</v>
      </c>
      <c r="H52" s="34"/>
      <c r="I52" s="34"/>
      <c r="J52" s="34"/>
      <c r="K52" s="24">
        <f>SUM(G52:J52)</f>
        <v>1981</v>
      </c>
      <c r="L52" s="25">
        <f t="shared" si="26"/>
        <v>0</v>
      </c>
      <c r="M52" s="25">
        <f t="shared" si="26"/>
        <v>0</v>
      </c>
      <c r="N52" s="25"/>
      <c r="O52" s="25">
        <f>+E52-J52</f>
        <v>0</v>
      </c>
      <c r="P52" s="26">
        <f>SUM(L52:O52)</f>
        <v>0</v>
      </c>
      <c r="Q52" s="18"/>
    </row>
    <row r="53" spans="1:17" ht="12.75" customHeight="1">
      <c r="A53" s="22" t="s">
        <v>19</v>
      </c>
      <c r="B53" s="27">
        <f t="shared" ref="B53:K53" si="27">+B54+B55</f>
        <v>0</v>
      </c>
      <c r="C53" s="27">
        <f t="shared" si="27"/>
        <v>0</v>
      </c>
      <c r="D53" s="27">
        <f t="shared" si="27"/>
        <v>0</v>
      </c>
      <c r="E53" s="27">
        <f t="shared" si="27"/>
        <v>0</v>
      </c>
      <c r="F53" s="27">
        <f t="shared" si="27"/>
        <v>0</v>
      </c>
      <c r="G53" s="27">
        <f t="shared" si="27"/>
        <v>0</v>
      </c>
      <c r="H53" s="27">
        <f t="shared" si="27"/>
        <v>0</v>
      </c>
      <c r="I53" s="27">
        <f t="shared" si="27"/>
        <v>0</v>
      </c>
      <c r="J53" s="27">
        <f t="shared" si="27"/>
        <v>0</v>
      </c>
      <c r="K53" s="27">
        <f t="shared" si="27"/>
        <v>0</v>
      </c>
      <c r="L53" s="27">
        <f>+L54+L55</f>
        <v>0</v>
      </c>
      <c r="M53" s="27">
        <f>+M54+M55</f>
        <v>0</v>
      </c>
      <c r="N53" s="27"/>
      <c r="O53" s="27">
        <f>+O54+O55</f>
        <v>0</v>
      </c>
      <c r="P53" s="28">
        <f>+P54+P55</f>
        <v>0</v>
      </c>
      <c r="Q53" s="18"/>
    </row>
    <row r="54" spans="1:17" ht="12.75" customHeight="1">
      <c r="A54" s="23" t="s">
        <v>20</v>
      </c>
      <c r="B54" s="29"/>
      <c r="C54" s="29"/>
      <c r="D54" s="29"/>
      <c r="E54" s="30"/>
      <c r="F54" s="24">
        <f>SUM(B54:E54)</f>
        <v>0</v>
      </c>
      <c r="G54" s="31"/>
      <c r="H54" s="31"/>
      <c r="I54" s="31"/>
      <c r="J54" s="31"/>
      <c r="K54" s="32">
        <f>SUM(G54:J54)</f>
        <v>0</v>
      </c>
      <c r="L54" s="25">
        <f>+B54-G54</f>
        <v>0</v>
      </c>
      <c r="M54" s="25">
        <f>+C54-H54</f>
        <v>0</v>
      </c>
      <c r="N54" s="25"/>
      <c r="O54" s="25">
        <f>+E54-J54</f>
        <v>0</v>
      </c>
      <c r="P54" s="26">
        <f>SUM(L54:O54)</f>
        <v>0</v>
      </c>
      <c r="Q54" s="18"/>
    </row>
    <row r="55" spans="1:17" ht="12.75" customHeight="1">
      <c r="A55" s="23" t="s">
        <v>21</v>
      </c>
      <c r="B55" s="29"/>
      <c r="C55" s="29"/>
      <c r="D55" s="29"/>
      <c r="E55" s="30"/>
      <c r="F55" s="24">
        <f>SUM(B55:E55)</f>
        <v>0</v>
      </c>
      <c r="G55" s="31"/>
      <c r="H55" s="31"/>
      <c r="I55" s="31"/>
      <c r="J55" s="31"/>
      <c r="K55" s="32">
        <f>SUM(G55:J55)</f>
        <v>0</v>
      </c>
      <c r="L55" s="25">
        <f>+B55-G55</f>
        <v>0</v>
      </c>
      <c r="M55" s="25">
        <f>+C55-H55</f>
        <v>0</v>
      </c>
      <c r="N55" s="25"/>
      <c r="O55" s="25">
        <f>+E55-J55</f>
        <v>0</v>
      </c>
      <c r="P55" s="26">
        <f>SUM(L55:O55)</f>
        <v>0</v>
      </c>
      <c r="Q55" s="18"/>
    </row>
    <row r="56" spans="1:17" ht="12.75" customHeight="1">
      <c r="A56" s="217"/>
      <c r="B56" s="44"/>
      <c r="C56" s="44"/>
      <c r="D56" s="44"/>
      <c r="E56" s="45"/>
      <c r="F56" s="77"/>
      <c r="G56" s="84"/>
      <c r="H56" s="84"/>
      <c r="I56" s="84"/>
      <c r="J56" s="84"/>
      <c r="K56" s="82"/>
      <c r="L56" s="44"/>
      <c r="M56" s="44"/>
      <c r="N56" s="44"/>
      <c r="O56" s="44"/>
      <c r="P56" s="75"/>
      <c r="Q56" s="76"/>
    </row>
    <row r="57" spans="1:17" ht="12.75" customHeight="1">
      <c r="A57" s="33" t="s">
        <v>79</v>
      </c>
      <c r="B57" s="17">
        <f t="shared" ref="B57:K57" si="28">+B58+B62</f>
        <v>1019845</v>
      </c>
      <c r="C57" s="17">
        <f t="shared" si="28"/>
        <v>160090</v>
      </c>
      <c r="D57" s="17">
        <f t="shared" si="28"/>
        <v>0</v>
      </c>
      <c r="E57" s="17">
        <f t="shared" si="28"/>
        <v>0</v>
      </c>
      <c r="F57" s="17">
        <f t="shared" si="28"/>
        <v>1179935</v>
      </c>
      <c r="G57" s="17">
        <f t="shared" si="28"/>
        <v>1006332</v>
      </c>
      <c r="H57" s="17">
        <f t="shared" si="28"/>
        <v>153941</v>
      </c>
      <c r="I57" s="17">
        <f t="shared" si="28"/>
        <v>0</v>
      </c>
      <c r="J57" s="17">
        <f t="shared" si="28"/>
        <v>0</v>
      </c>
      <c r="K57" s="17">
        <f t="shared" si="28"/>
        <v>1160273</v>
      </c>
      <c r="L57" s="17">
        <f>+L58+L62</f>
        <v>13513</v>
      </c>
      <c r="M57" s="17">
        <f>+M58+M62</f>
        <v>6149</v>
      </c>
      <c r="N57" s="17"/>
      <c r="O57" s="17">
        <f>+O58+O62</f>
        <v>0</v>
      </c>
      <c r="P57" s="17">
        <f>+P58+P62</f>
        <v>19662</v>
      </c>
      <c r="Q57" s="18">
        <f>+K57/F57</f>
        <v>0.98333637022378351</v>
      </c>
    </row>
    <row r="58" spans="1:17" ht="12.75" customHeight="1">
      <c r="A58" s="41" t="s">
        <v>15</v>
      </c>
      <c r="B58" s="20">
        <f t="shared" ref="B58:K58" si="29">+B59+B60+B61</f>
        <v>1019845</v>
      </c>
      <c r="C58" s="20">
        <f t="shared" si="29"/>
        <v>160090</v>
      </c>
      <c r="D58" s="20">
        <f t="shared" si="29"/>
        <v>0</v>
      </c>
      <c r="E58" s="20">
        <f t="shared" si="29"/>
        <v>0</v>
      </c>
      <c r="F58" s="20">
        <f t="shared" si="29"/>
        <v>1179935</v>
      </c>
      <c r="G58" s="20">
        <f t="shared" si="29"/>
        <v>1006332</v>
      </c>
      <c r="H58" s="20">
        <f t="shared" si="29"/>
        <v>153941</v>
      </c>
      <c r="I58" s="20">
        <f t="shared" si="29"/>
        <v>0</v>
      </c>
      <c r="J58" s="20">
        <f t="shared" si="29"/>
        <v>0</v>
      </c>
      <c r="K58" s="20">
        <f t="shared" si="29"/>
        <v>1160273</v>
      </c>
      <c r="L58" s="20">
        <f>+L59+L60+L61</f>
        <v>13513</v>
      </c>
      <c r="M58" s="20">
        <f>+M59+M60+M61</f>
        <v>6149</v>
      </c>
      <c r="N58" s="20"/>
      <c r="O58" s="20">
        <f>+O59+O60+O61</f>
        <v>0</v>
      </c>
      <c r="P58" s="21">
        <f>+P59+P60+P61</f>
        <v>19662</v>
      </c>
      <c r="Q58" s="18"/>
    </row>
    <row r="59" spans="1:17" ht="12.75" customHeight="1">
      <c r="A59" s="22" t="s">
        <v>16</v>
      </c>
      <c r="B59" s="29">
        <v>957282</v>
      </c>
      <c r="C59" s="29">
        <v>157202</v>
      </c>
      <c r="D59" s="29"/>
      <c r="E59" s="30"/>
      <c r="F59" s="24">
        <f>SUM(B59:E59)</f>
        <v>1114484</v>
      </c>
      <c r="G59" s="29">
        <f>1006332-22360-31996</f>
        <v>951976</v>
      </c>
      <c r="H59" s="29">
        <f>153941-2726</f>
        <v>151215</v>
      </c>
      <c r="I59" s="29"/>
      <c r="J59" s="29"/>
      <c r="K59" s="24">
        <f>SUM(G59:J59)</f>
        <v>1103191</v>
      </c>
      <c r="L59" s="25">
        <f t="shared" ref="L59:M61" si="30">+B59-G59</f>
        <v>5306</v>
      </c>
      <c r="M59" s="25">
        <f t="shared" si="30"/>
        <v>5987</v>
      </c>
      <c r="N59" s="25"/>
      <c r="O59" s="25">
        <f>+E59-J59</f>
        <v>0</v>
      </c>
      <c r="P59" s="26">
        <f>SUM(L59:O59)</f>
        <v>11293</v>
      </c>
      <c r="Q59" s="18"/>
    </row>
    <row r="60" spans="1:17" ht="12.75" customHeight="1">
      <c r="A60" s="22" t="s">
        <v>17</v>
      </c>
      <c r="B60" s="29">
        <v>22574</v>
      </c>
      <c r="C60" s="29">
        <v>2888</v>
      </c>
      <c r="D60" s="29"/>
      <c r="E60" s="30"/>
      <c r="F60" s="24">
        <f>SUM(B60:E60)</f>
        <v>25462</v>
      </c>
      <c r="G60" s="29">
        <f>14273+8087</f>
        <v>22360</v>
      </c>
      <c r="H60" s="29">
        <v>2726</v>
      </c>
      <c r="I60" s="29"/>
      <c r="J60" s="34"/>
      <c r="K60" s="24">
        <f>SUM(G60:J60)</f>
        <v>25086</v>
      </c>
      <c r="L60" s="25">
        <f t="shared" si="30"/>
        <v>214</v>
      </c>
      <c r="M60" s="25">
        <f t="shared" si="30"/>
        <v>162</v>
      </c>
      <c r="N60" s="25"/>
      <c r="O60" s="25">
        <f>+E60-J60</f>
        <v>0</v>
      </c>
      <c r="P60" s="26">
        <f>SUM(L60:O60)</f>
        <v>376</v>
      </c>
      <c r="Q60" s="18"/>
    </row>
    <row r="61" spans="1:17" ht="12.75" customHeight="1">
      <c r="A61" s="22" t="s">
        <v>18</v>
      </c>
      <c r="B61" s="29">
        <v>39989</v>
      </c>
      <c r="C61" s="34"/>
      <c r="D61" s="34"/>
      <c r="E61" s="35"/>
      <c r="F61" s="24">
        <f>SUM(B61:E61)</f>
        <v>39989</v>
      </c>
      <c r="G61" s="235">
        <f>5907+7706+797+1160+1570+994+622+4228+1400+5339+238+1561+474</f>
        <v>31996</v>
      </c>
      <c r="H61" s="34"/>
      <c r="I61" s="34"/>
      <c r="J61" s="34"/>
      <c r="K61" s="24">
        <f>SUM(G61:J61)</f>
        <v>31996</v>
      </c>
      <c r="L61" s="25">
        <f t="shared" si="30"/>
        <v>7993</v>
      </c>
      <c r="M61" s="25">
        <f t="shared" si="30"/>
        <v>0</v>
      </c>
      <c r="N61" s="25"/>
      <c r="O61" s="25">
        <f>+E61-J61</f>
        <v>0</v>
      </c>
      <c r="P61" s="26">
        <f>SUM(L61:O61)</f>
        <v>7993</v>
      </c>
      <c r="Q61" s="18"/>
    </row>
    <row r="62" spans="1:17" ht="12.75" customHeight="1">
      <c r="A62" s="22" t="s">
        <v>19</v>
      </c>
      <c r="B62" s="27">
        <f t="shared" ref="B62:K62" si="31">+B63+B64</f>
        <v>0</v>
      </c>
      <c r="C62" s="27">
        <f t="shared" si="31"/>
        <v>0</v>
      </c>
      <c r="D62" s="27">
        <f t="shared" si="31"/>
        <v>0</v>
      </c>
      <c r="E62" s="27">
        <f t="shared" si="31"/>
        <v>0</v>
      </c>
      <c r="F62" s="27">
        <f t="shared" si="31"/>
        <v>0</v>
      </c>
      <c r="G62" s="27">
        <f t="shared" si="31"/>
        <v>0</v>
      </c>
      <c r="H62" s="27">
        <f t="shared" si="31"/>
        <v>0</v>
      </c>
      <c r="I62" s="27">
        <f t="shared" si="31"/>
        <v>0</v>
      </c>
      <c r="J62" s="27">
        <f t="shared" si="31"/>
        <v>0</v>
      </c>
      <c r="K62" s="27">
        <f t="shared" si="31"/>
        <v>0</v>
      </c>
      <c r="L62" s="27">
        <f>+L63+L64</f>
        <v>0</v>
      </c>
      <c r="M62" s="27">
        <f>+M63+M64</f>
        <v>0</v>
      </c>
      <c r="N62" s="27"/>
      <c r="O62" s="27">
        <f>+O63+O64</f>
        <v>0</v>
      </c>
      <c r="P62" s="28">
        <f>+P63+P64</f>
        <v>0</v>
      </c>
      <c r="Q62" s="18"/>
    </row>
    <row r="63" spans="1:17" ht="12.75" customHeight="1">
      <c r="A63" s="23" t="s">
        <v>20</v>
      </c>
      <c r="B63" s="29"/>
      <c r="C63" s="29"/>
      <c r="D63" s="29"/>
      <c r="E63" s="30"/>
      <c r="F63" s="24">
        <f>SUM(B63:E63)</f>
        <v>0</v>
      </c>
      <c r="G63" s="29"/>
      <c r="H63" s="29"/>
      <c r="I63" s="29"/>
      <c r="J63" s="29"/>
      <c r="K63" s="24">
        <f>SUM(G63:J63)</f>
        <v>0</v>
      </c>
      <c r="L63" s="25">
        <f>+B63-G63</f>
        <v>0</v>
      </c>
      <c r="M63" s="25">
        <f>+C63-H63</f>
        <v>0</v>
      </c>
      <c r="N63" s="25"/>
      <c r="O63" s="25">
        <f>+E63-J63</f>
        <v>0</v>
      </c>
      <c r="P63" s="26">
        <f>SUM(L63:O63)</f>
        <v>0</v>
      </c>
      <c r="Q63" s="18"/>
    </row>
    <row r="64" spans="1:17" ht="12.75" customHeight="1">
      <c r="A64" s="23" t="s">
        <v>21</v>
      </c>
      <c r="B64" s="29"/>
      <c r="C64" s="29"/>
      <c r="D64" s="29"/>
      <c r="E64" s="30"/>
      <c r="F64" s="24">
        <f>SUM(B64:E64)</f>
        <v>0</v>
      </c>
      <c r="G64" s="29"/>
      <c r="H64" s="29"/>
      <c r="I64" s="29"/>
      <c r="J64" s="29"/>
      <c r="K64" s="24">
        <f>SUM(G64:J64)</f>
        <v>0</v>
      </c>
      <c r="L64" s="25">
        <f>+B64-G64</f>
        <v>0</v>
      </c>
      <c r="M64" s="25">
        <f>+C64-H64</f>
        <v>0</v>
      </c>
      <c r="N64" s="25"/>
      <c r="O64" s="25">
        <f>+E64-J64</f>
        <v>0</v>
      </c>
      <c r="P64" s="26">
        <f>SUM(L64:O64)</f>
        <v>0</v>
      </c>
      <c r="Q64" s="18"/>
    </row>
    <row r="65" spans="1:17" ht="12.75" customHeight="1">
      <c r="A65" s="33"/>
      <c r="B65" s="25"/>
      <c r="C65" s="25"/>
      <c r="D65" s="25"/>
      <c r="E65" s="43"/>
      <c r="F65" s="24"/>
      <c r="G65" s="47"/>
      <c r="H65" s="47"/>
      <c r="I65" s="47"/>
      <c r="J65" s="47"/>
      <c r="K65" s="32"/>
      <c r="L65" s="25"/>
      <c r="M65" s="25"/>
      <c r="N65" s="25"/>
      <c r="O65" s="25"/>
      <c r="P65" s="26"/>
      <c r="Q65" s="18"/>
    </row>
    <row r="66" spans="1:17" ht="12.75" customHeight="1">
      <c r="A66" s="33" t="s">
        <v>80</v>
      </c>
      <c r="B66" s="17">
        <f t="shared" ref="B66:K66" si="32">+B67+B71</f>
        <v>99082935</v>
      </c>
      <c r="C66" s="17">
        <f t="shared" si="32"/>
        <v>8644582</v>
      </c>
      <c r="D66" s="17">
        <f t="shared" si="32"/>
        <v>0</v>
      </c>
      <c r="E66" s="17">
        <f t="shared" si="32"/>
        <v>7615314</v>
      </c>
      <c r="F66" s="17">
        <f t="shared" si="32"/>
        <v>115342831</v>
      </c>
      <c r="G66" s="17">
        <f t="shared" si="32"/>
        <v>99082874</v>
      </c>
      <c r="H66" s="17">
        <f t="shared" si="32"/>
        <v>7961650</v>
      </c>
      <c r="I66" s="17">
        <f t="shared" si="32"/>
        <v>0</v>
      </c>
      <c r="J66" s="17">
        <f t="shared" si="32"/>
        <v>2455182</v>
      </c>
      <c r="K66" s="17">
        <f t="shared" si="32"/>
        <v>109499706</v>
      </c>
      <c r="L66" s="17">
        <f>+L67+L71</f>
        <v>61</v>
      </c>
      <c r="M66" s="17">
        <f>+M67+M71</f>
        <v>682932</v>
      </c>
      <c r="N66" s="17"/>
      <c r="O66" s="17">
        <f>+O67+O71</f>
        <v>5160132</v>
      </c>
      <c r="P66" s="17">
        <f>+P67+P71</f>
        <v>5843125</v>
      </c>
      <c r="Q66" s="18">
        <f>+K66/F66</f>
        <v>0.94934123820838068</v>
      </c>
    </row>
    <row r="67" spans="1:17" ht="12.75" customHeight="1">
      <c r="A67" s="41" t="s">
        <v>15</v>
      </c>
      <c r="B67" s="20">
        <f t="shared" ref="B67:K67" si="33">+B68+B69+B70</f>
        <v>99082935</v>
      </c>
      <c r="C67" s="20">
        <f t="shared" si="33"/>
        <v>7957004</v>
      </c>
      <c r="D67" s="20">
        <f t="shared" si="33"/>
        <v>0</v>
      </c>
      <c r="E67" s="20">
        <f t="shared" si="33"/>
        <v>2937714</v>
      </c>
      <c r="F67" s="20">
        <f t="shared" si="33"/>
        <v>109977653</v>
      </c>
      <c r="G67" s="20">
        <f t="shared" si="33"/>
        <v>99082874</v>
      </c>
      <c r="H67" s="20">
        <f t="shared" si="33"/>
        <v>7543070</v>
      </c>
      <c r="I67" s="20">
        <f t="shared" si="33"/>
        <v>0</v>
      </c>
      <c r="J67" s="20">
        <f t="shared" si="33"/>
        <v>320284</v>
      </c>
      <c r="K67" s="20">
        <f t="shared" si="33"/>
        <v>106946228</v>
      </c>
      <c r="L67" s="20">
        <f>+L68+L69+L70</f>
        <v>61</v>
      </c>
      <c r="M67" s="20">
        <f>+M68+M69+M70</f>
        <v>413934</v>
      </c>
      <c r="N67" s="20"/>
      <c r="O67" s="20">
        <f>+O68+O69+O70</f>
        <v>2617430</v>
      </c>
      <c r="P67" s="21">
        <f>+P68+P69+P70</f>
        <v>3031425</v>
      </c>
      <c r="Q67" s="18"/>
    </row>
    <row r="68" spans="1:17" ht="12.75" customHeight="1">
      <c r="A68" s="22" t="s">
        <v>16</v>
      </c>
      <c r="B68" s="29">
        <v>61274285</v>
      </c>
      <c r="C68" s="29">
        <v>7849811</v>
      </c>
      <c r="D68" s="29"/>
      <c r="E68" s="30">
        <v>2928964</v>
      </c>
      <c r="F68" s="24">
        <f>SUM(B68:E68)</f>
        <v>72053060</v>
      </c>
      <c r="G68" s="29">
        <f>61393104-118880</f>
        <v>61274224</v>
      </c>
      <c r="H68" s="29">
        <v>7504284</v>
      </c>
      <c r="I68" s="29"/>
      <c r="J68" s="29">
        <v>320284</v>
      </c>
      <c r="K68" s="24">
        <f>SUM(G68:J68)</f>
        <v>69098792</v>
      </c>
      <c r="L68" s="25">
        <f t="shared" ref="L68:M70" si="34">+B68-G68</f>
        <v>61</v>
      </c>
      <c r="M68" s="25">
        <f t="shared" si="34"/>
        <v>345527</v>
      </c>
      <c r="N68" s="25"/>
      <c r="O68" s="25">
        <f>+E68-J68</f>
        <v>2608680</v>
      </c>
      <c r="P68" s="26">
        <f>SUM(L68:O68)</f>
        <v>2954268</v>
      </c>
      <c r="Q68" s="18"/>
    </row>
    <row r="69" spans="1:17" ht="12.75" customHeight="1">
      <c r="A69" s="22" t="s">
        <v>17</v>
      </c>
      <c r="B69" s="29">
        <v>37689770</v>
      </c>
      <c r="C69" s="29">
        <v>107193</v>
      </c>
      <c r="D69" s="29"/>
      <c r="E69" s="30">
        <v>8750</v>
      </c>
      <c r="F69" s="24">
        <f>SUM(B69:E69)</f>
        <v>37805713</v>
      </c>
      <c r="G69" s="29">
        <v>37689770</v>
      </c>
      <c r="H69" s="29">
        <f>300237-261451</f>
        <v>38786</v>
      </c>
      <c r="I69" s="29"/>
      <c r="J69" s="34"/>
      <c r="K69" s="24">
        <f>SUM(G69:J69)</f>
        <v>37728556</v>
      </c>
      <c r="L69" s="25">
        <f t="shared" si="34"/>
        <v>0</v>
      </c>
      <c r="M69" s="25">
        <f t="shared" si="34"/>
        <v>68407</v>
      </c>
      <c r="N69" s="25"/>
      <c r="O69" s="25">
        <f>+E69-J69</f>
        <v>8750</v>
      </c>
      <c r="P69" s="26">
        <f>SUM(L69:O69)</f>
        <v>77157</v>
      </c>
      <c r="Q69" s="18"/>
    </row>
    <row r="70" spans="1:17" ht="12.75" customHeight="1">
      <c r="A70" s="22" t="s">
        <v>18</v>
      </c>
      <c r="B70" s="29">
        <v>118880</v>
      </c>
      <c r="C70" s="29"/>
      <c r="D70" s="29"/>
      <c r="E70" s="30"/>
      <c r="F70" s="24">
        <f>SUM(B70:E70)</f>
        <v>118880</v>
      </c>
      <c r="G70" s="29">
        <v>118880</v>
      </c>
      <c r="H70" s="34"/>
      <c r="I70" s="34"/>
      <c r="J70" s="34"/>
      <c r="K70" s="24">
        <f>SUM(G70:J70)</f>
        <v>118880</v>
      </c>
      <c r="L70" s="25">
        <f t="shared" si="34"/>
        <v>0</v>
      </c>
      <c r="M70" s="25">
        <f t="shared" si="34"/>
        <v>0</v>
      </c>
      <c r="N70" s="25"/>
      <c r="O70" s="25">
        <f>+E70-J70</f>
        <v>0</v>
      </c>
      <c r="P70" s="26">
        <f>SUM(L70:O70)</f>
        <v>0</v>
      </c>
      <c r="Q70" s="18"/>
    </row>
    <row r="71" spans="1:17" ht="12.75" customHeight="1">
      <c r="A71" s="22" t="s">
        <v>19</v>
      </c>
      <c r="B71" s="27">
        <f t="shared" ref="B71:K71" si="35">+B72+B73</f>
        <v>0</v>
      </c>
      <c r="C71" s="27">
        <f t="shared" si="35"/>
        <v>687578</v>
      </c>
      <c r="D71" s="27">
        <f t="shared" si="35"/>
        <v>0</v>
      </c>
      <c r="E71" s="27">
        <f t="shared" si="35"/>
        <v>4677600</v>
      </c>
      <c r="F71" s="27">
        <f t="shared" si="35"/>
        <v>5365178</v>
      </c>
      <c r="G71" s="27">
        <f t="shared" si="35"/>
        <v>0</v>
      </c>
      <c r="H71" s="27">
        <f t="shared" si="35"/>
        <v>418580</v>
      </c>
      <c r="I71" s="27">
        <f t="shared" si="35"/>
        <v>0</v>
      </c>
      <c r="J71" s="27">
        <f t="shared" si="35"/>
        <v>2134898</v>
      </c>
      <c r="K71" s="27">
        <f t="shared" si="35"/>
        <v>2553478</v>
      </c>
      <c r="L71" s="27">
        <f>+L72+L73</f>
        <v>0</v>
      </c>
      <c r="M71" s="27">
        <f>+M72+M73</f>
        <v>268998</v>
      </c>
      <c r="N71" s="27"/>
      <c r="O71" s="27">
        <f>+O72+O73</f>
        <v>2542702</v>
      </c>
      <c r="P71" s="28">
        <f>+P72+P73</f>
        <v>2811700</v>
      </c>
      <c r="Q71" s="18"/>
    </row>
    <row r="72" spans="1:17" ht="12.75" customHeight="1">
      <c r="A72" s="23" t="s">
        <v>20</v>
      </c>
      <c r="B72" s="29"/>
      <c r="C72" s="29">
        <v>424681</v>
      </c>
      <c r="D72" s="29"/>
      <c r="E72" s="30">
        <v>4677600</v>
      </c>
      <c r="F72" s="24">
        <f>SUM(B72:E72)</f>
        <v>5102281</v>
      </c>
      <c r="G72" s="31"/>
      <c r="H72" s="29">
        <v>157129</v>
      </c>
      <c r="I72" s="29"/>
      <c r="J72" s="29">
        <v>2134898</v>
      </c>
      <c r="K72" s="24">
        <f>SUM(G72:J72)</f>
        <v>2292027</v>
      </c>
      <c r="L72" s="25">
        <f>+B72-G72</f>
        <v>0</v>
      </c>
      <c r="M72" s="25">
        <f>+C72-H72</f>
        <v>267552</v>
      </c>
      <c r="N72" s="25"/>
      <c r="O72" s="25">
        <f>+E72-J72</f>
        <v>2542702</v>
      </c>
      <c r="P72" s="26">
        <f>SUM(L72:O72)</f>
        <v>2810254</v>
      </c>
      <c r="Q72" s="18"/>
    </row>
    <row r="73" spans="1:17" ht="12.75" customHeight="1">
      <c r="A73" s="23" t="s">
        <v>21</v>
      </c>
      <c r="B73" s="29"/>
      <c r="C73" s="29">
        <v>262897</v>
      </c>
      <c r="D73" s="29"/>
      <c r="E73" s="30"/>
      <c r="F73" s="24">
        <f>SUM(B73:E73)</f>
        <v>262897</v>
      </c>
      <c r="G73" s="31"/>
      <c r="H73" s="29">
        <v>261451</v>
      </c>
      <c r="I73" s="31"/>
      <c r="J73" s="31"/>
      <c r="K73" s="24">
        <f>SUM(G73:J73)</f>
        <v>261451</v>
      </c>
      <c r="L73" s="25">
        <f>+B73-G73</f>
        <v>0</v>
      </c>
      <c r="M73" s="25">
        <f>+C73-H73</f>
        <v>1446</v>
      </c>
      <c r="N73" s="25"/>
      <c r="O73" s="25">
        <f>+E73-J73</f>
        <v>0</v>
      </c>
      <c r="P73" s="26">
        <f>SUM(L73:O73)</f>
        <v>1446</v>
      </c>
      <c r="Q73" s="18"/>
    </row>
    <row r="74" spans="1:17" ht="12.75" customHeight="1">
      <c r="A74" s="33"/>
      <c r="B74" s="25"/>
      <c r="C74" s="25"/>
      <c r="D74" s="25"/>
      <c r="E74" s="43"/>
      <c r="F74" s="24"/>
      <c r="G74" s="47"/>
      <c r="H74" s="47"/>
      <c r="I74" s="47"/>
      <c r="J74" s="47"/>
      <c r="K74" s="32"/>
      <c r="L74" s="25"/>
      <c r="M74" s="25"/>
      <c r="N74" s="25"/>
      <c r="O74" s="25"/>
      <c r="P74" s="26"/>
      <c r="Q74" s="18"/>
    </row>
    <row r="75" spans="1:17" ht="12.75" customHeight="1">
      <c r="A75" s="33" t="s">
        <v>81</v>
      </c>
      <c r="B75" s="17">
        <f t="shared" ref="B75:K75" si="36">+B76+B80</f>
        <v>718257</v>
      </c>
      <c r="C75" s="17">
        <f t="shared" si="36"/>
        <v>610866</v>
      </c>
      <c r="D75" s="17">
        <f t="shared" si="36"/>
        <v>0</v>
      </c>
      <c r="E75" s="17">
        <f t="shared" si="36"/>
        <v>348789</v>
      </c>
      <c r="F75" s="17">
        <f t="shared" si="36"/>
        <v>1677912</v>
      </c>
      <c r="G75" s="17">
        <f t="shared" si="36"/>
        <v>638730</v>
      </c>
      <c r="H75" s="17">
        <f t="shared" si="36"/>
        <v>610846</v>
      </c>
      <c r="I75" s="17">
        <f t="shared" si="36"/>
        <v>0</v>
      </c>
      <c r="J75" s="17">
        <f t="shared" si="36"/>
        <v>6064</v>
      </c>
      <c r="K75" s="17">
        <f t="shared" si="36"/>
        <v>1255640</v>
      </c>
      <c r="L75" s="17">
        <f>+L76+L80</f>
        <v>79527</v>
      </c>
      <c r="M75" s="17">
        <f>+M76+M80</f>
        <v>20</v>
      </c>
      <c r="N75" s="17"/>
      <c r="O75" s="17">
        <f>+O76+O80</f>
        <v>342725</v>
      </c>
      <c r="P75" s="17">
        <f>+P76+P80</f>
        <v>422272</v>
      </c>
      <c r="Q75" s="18">
        <f>+K75/F75</f>
        <v>0.74833483519993893</v>
      </c>
    </row>
    <row r="76" spans="1:17" ht="12.75" customHeight="1">
      <c r="A76" s="41" t="s">
        <v>15</v>
      </c>
      <c r="B76" s="20">
        <f t="shared" ref="B76:K76" si="37">+B77+B78+B79</f>
        <v>718257</v>
      </c>
      <c r="C76" s="20">
        <f t="shared" si="37"/>
        <v>610866</v>
      </c>
      <c r="D76" s="20">
        <f t="shared" si="37"/>
        <v>0</v>
      </c>
      <c r="E76" s="20">
        <f t="shared" si="37"/>
        <v>234460</v>
      </c>
      <c r="F76" s="20">
        <f t="shared" si="37"/>
        <v>1563583</v>
      </c>
      <c r="G76" s="20">
        <f t="shared" si="37"/>
        <v>638730</v>
      </c>
      <c r="H76" s="20">
        <f t="shared" si="37"/>
        <v>610846</v>
      </c>
      <c r="I76" s="20">
        <f t="shared" si="37"/>
        <v>0</v>
      </c>
      <c r="J76" s="20">
        <f t="shared" si="37"/>
        <v>6064</v>
      </c>
      <c r="K76" s="20">
        <f t="shared" si="37"/>
        <v>1255640</v>
      </c>
      <c r="L76" s="20">
        <f>+L77+L78+L79</f>
        <v>79527</v>
      </c>
      <c r="M76" s="20">
        <f>+M77+M78+M79</f>
        <v>20</v>
      </c>
      <c r="N76" s="20"/>
      <c r="O76" s="20">
        <f>+O77+O78+O79</f>
        <v>228396</v>
      </c>
      <c r="P76" s="21">
        <f>+P77+P78+P79</f>
        <v>307943</v>
      </c>
      <c r="Q76" s="18"/>
    </row>
    <row r="77" spans="1:17" ht="12.75" customHeight="1">
      <c r="A77" s="22" t="s">
        <v>16</v>
      </c>
      <c r="B77" s="29">
        <v>696108</v>
      </c>
      <c r="C77" s="29">
        <v>610866</v>
      </c>
      <c r="D77" s="29"/>
      <c r="E77" s="30">
        <v>234460</v>
      </c>
      <c r="F77" s="24">
        <f>SUM(B77:E77)</f>
        <v>1541434</v>
      </c>
      <c r="G77" s="29">
        <v>619340</v>
      </c>
      <c r="H77" s="29">
        <v>610846</v>
      </c>
      <c r="I77" s="29"/>
      <c r="J77" s="29">
        <v>6064</v>
      </c>
      <c r="K77" s="24">
        <f>SUM(G77:J77)</f>
        <v>1236250</v>
      </c>
      <c r="L77" s="25">
        <f t="shared" ref="L77:M79" si="38">+B77-G77</f>
        <v>76768</v>
      </c>
      <c r="M77" s="25">
        <f t="shared" si="38"/>
        <v>20</v>
      </c>
      <c r="N77" s="25"/>
      <c r="O77" s="25">
        <f>+E77-J77</f>
        <v>228396</v>
      </c>
      <c r="P77" s="26">
        <f>SUM(L77:O77)</f>
        <v>305184</v>
      </c>
      <c r="Q77" s="18"/>
    </row>
    <row r="78" spans="1:17" ht="12.75" customHeight="1">
      <c r="A78" s="22" t="s">
        <v>17</v>
      </c>
      <c r="B78" s="29">
        <v>13209</v>
      </c>
      <c r="C78" s="34"/>
      <c r="D78" s="34"/>
      <c r="E78" s="30"/>
      <c r="F78" s="24">
        <f>SUM(B78:E78)</f>
        <v>13209</v>
      </c>
      <c r="G78" s="29">
        <v>11423</v>
      </c>
      <c r="H78" s="34"/>
      <c r="I78" s="34"/>
      <c r="J78" s="34"/>
      <c r="K78" s="24">
        <f>SUM(G78:J78)</f>
        <v>11423</v>
      </c>
      <c r="L78" s="25">
        <f t="shared" si="38"/>
        <v>1786</v>
      </c>
      <c r="M78" s="25">
        <f t="shared" si="38"/>
        <v>0</v>
      </c>
      <c r="N78" s="25"/>
      <c r="O78" s="25">
        <f>+E78-J78</f>
        <v>0</v>
      </c>
      <c r="P78" s="26">
        <f>SUM(L78:O78)</f>
        <v>1786</v>
      </c>
      <c r="Q78" s="18"/>
    </row>
    <row r="79" spans="1:17" ht="12.75" customHeight="1">
      <c r="A79" s="22" t="s">
        <v>18</v>
      </c>
      <c r="B79" s="29">
        <v>8940</v>
      </c>
      <c r="C79" s="34"/>
      <c r="D79" s="34"/>
      <c r="E79" s="35"/>
      <c r="F79" s="24">
        <f>SUM(B79:E79)</f>
        <v>8940</v>
      </c>
      <c r="G79" s="29">
        <v>7967</v>
      </c>
      <c r="H79" s="34"/>
      <c r="I79" s="34"/>
      <c r="J79" s="34"/>
      <c r="K79" s="24">
        <f>SUM(G79:J79)</f>
        <v>7967</v>
      </c>
      <c r="L79" s="25">
        <f t="shared" si="38"/>
        <v>973</v>
      </c>
      <c r="M79" s="25">
        <f t="shared" si="38"/>
        <v>0</v>
      </c>
      <c r="N79" s="25"/>
      <c r="O79" s="25">
        <f>+E79-J79</f>
        <v>0</v>
      </c>
      <c r="P79" s="26">
        <f>SUM(L79:O79)</f>
        <v>973</v>
      </c>
      <c r="Q79" s="18"/>
    </row>
    <row r="80" spans="1:17" ht="12.75" customHeight="1">
      <c r="A80" s="22" t="s">
        <v>19</v>
      </c>
      <c r="B80" s="27">
        <f t="shared" ref="B80:K80" si="39">+B81+B82</f>
        <v>0</v>
      </c>
      <c r="C80" s="27">
        <f t="shared" si="39"/>
        <v>0</v>
      </c>
      <c r="D80" s="27">
        <f t="shared" si="39"/>
        <v>0</v>
      </c>
      <c r="E80" s="27">
        <f t="shared" si="39"/>
        <v>114329</v>
      </c>
      <c r="F80" s="27">
        <f t="shared" si="39"/>
        <v>114329</v>
      </c>
      <c r="G80" s="27">
        <f t="shared" si="39"/>
        <v>0</v>
      </c>
      <c r="H80" s="27">
        <f t="shared" si="39"/>
        <v>0</v>
      </c>
      <c r="I80" s="27">
        <f t="shared" si="39"/>
        <v>0</v>
      </c>
      <c r="J80" s="27">
        <f t="shared" si="39"/>
        <v>0</v>
      </c>
      <c r="K80" s="27">
        <f t="shared" si="39"/>
        <v>0</v>
      </c>
      <c r="L80" s="27">
        <f>+L81+L82</f>
        <v>0</v>
      </c>
      <c r="M80" s="27">
        <f>+M81+M82</f>
        <v>0</v>
      </c>
      <c r="N80" s="27"/>
      <c r="O80" s="27">
        <f>+O81+O82</f>
        <v>114329</v>
      </c>
      <c r="P80" s="28">
        <f>+P81+P82</f>
        <v>114329</v>
      </c>
      <c r="Q80" s="18"/>
    </row>
    <row r="81" spans="1:17" ht="12.75" customHeight="1">
      <c r="A81" s="23" t="s">
        <v>20</v>
      </c>
      <c r="B81" s="29"/>
      <c r="C81" s="29"/>
      <c r="D81" s="29"/>
      <c r="E81" s="30">
        <v>114329</v>
      </c>
      <c r="F81" s="24">
        <f>SUM(B81:E81)</f>
        <v>114329</v>
      </c>
      <c r="G81" s="31"/>
      <c r="H81" s="31"/>
      <c r="I81" s="31"/>
      <c r="J81" s="31"/>
      <c r="K81" s="32">
        <f>SUM(G81:J81)</f>
        <v>0</v>
      </c>
      <c r="L81" s="25">
        <f>+B81-G81</f>
        <v>0</v>
      </c>
      <c r="M81" s="25">
        <f>+C81-H81</f>
        <v>0</v>
      </c>
      <c r="N81" s="25"/>
      <c r="O81" s="25">
        <f>+E81-J81</f>
        <v>114329</v>
      </c>
      <c r="P81" s="26">
        <f>SUM(L81:O81)</f>
        <v>114329</v>
      </c>
      <c r="Q81" s="18"/>
    </row>
    <row r="82" spans="1:17" ht="12.75" customHeight="1">
      <c r="A82" s="23" t="s">
        <v>21</v>
      </c>
      <c r="B82" s="29"/>
      <c r="C82" s="29"/>
      <c r="D82" s="29"/>
      <c r="E82" s="30"/>
      <c r="F82" s="24">
        <f>SUM(B82:E82)</f>
        <v>0</v>
      </c>
      <c r="G82" s="31"/>
      <c r="H82" s="31"/>
      <c r="I82" s="31"/>
      <c r="J82" s="31"/>
      <c r="K82" s="32">
        <f>SUM(G82:J82)</f>
        <v>0</v>
      </c>
      <c r="L82" s="25">
        <f>+B82-G82</f>
        <v>0</v>
      </c>
      <c r="M82" s="25">
        <f>+C82-H82</f>
        <v>0</v>
      </c>
      <c r="N82" s="25"/>
      <c r="O82" s="25">
        <f>+E82-J82</f>
        <v>0</v>
      </c>
      <c r="P82" s="26">
        <f>SUM(L82:O82)</f>
        <v>0</v>
      </c>
      <c r="Q82" s="18"/>
    </row>
    <row r="83" spans="1:17" ht="12.75" customHeight="1">
      <c r="A83" s="65"/>
      <c r="B83" s="44"/>
      <c r="C83" s="44"/>
      <c r="D83" s="44"/>
      <c r="E83" s="45"/>
      <c r="F83" s="77"/>
      <c r="G83" s="44"/>
      <c r="H83" s="44"/>
      <c r="I83" s="44"/>
      <c r="J83" s="44"/>
      <c r="K83" s="77"/>
      <c r="L83" s="44"/>
      <c r="M83" s="44"/>
      <c r="N83" s="44"/>
      <c r="O83" s="44"/>
      <c r="P83" s="75"/>
      <c r="Q83" s="76"/>
    </row>
    <row r="84" spans="1:17">
      <c r="A84" s="80"/>
    </row>
    <row r="85" spans="1:17">
      <c r="A85" s="80"/>
    </row>
    <row r="86" spans="1:17">
      <c r="A86" s="80"/>
    </row>
    <row r="87" spans="1:17">
      <c r="A87" s="80"/>
    </row>
    <row r="88" spans="1:17">
      <c r="A88" s="80"/>
    </row>
    <row r="89" spans="1:17">
      <c r="A89" s="80"/>
    </row>
    <row r="90" spans="1:17">
      <c r="A90" s="80"/>
    </row>
    <row r="91" spans="1:17">
      <c r="A91" s="80"/>
    </row>
    <row r="92" spans="1:17">
      <c r="A92" s="80"/>
    </row>
    <row r="93" spans="1:17">
      <c r="A93" s="80"/>
    </row>
    <row r="94" spans="1:17">
      <c r="A94" s="80"/>
    </row>
    <row r="95" spans="1:17">
      <c r="A95" s="80"/>
    </row>
    <row r="96" spans="1:17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1" fitToWidth="0" fitToHeight="0" orientation="landscape" r:id="rId1"/>
  <headerFooter alignWithMargins="0">
    <oddFooter>Page &amp;P of &amp;N</oddFooter>
  </headerFooter>
  <rowBreaks count="1" manualBreakCount="1">
    <brk id="56" max="16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12"/>
  <sheetViews>
    <sheetView showRuler="0" zoomScaleSheetLayoutView="100" workbookViewId="0">
      <pane xSplit="1" ySplit="8" topLeftCell="B48" activePane="bottomRight" state="frozen"/>
      <selection activeCell="A1459" sqref="A1459"/>
      <selection pane="topRight" activeCell="A1459" sqref="A1459"/>
      <selection pane="bottomLeft" activeCell="A1459" sqref="A1459"/>
      <selection pane="bottomRight" activeCell="H59" sqref="H59"/>
    </sheetView>
  </sheetViews>
  <sheetFormatPr defaultRowHeight="12.75"/>
  <cols>
    <col min="1" max="1" width="33.710937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82</v>
      </c>
      <c r="B10" s="17">
        <f t="shared" ref="B10:P10" si="0">+B11+B16+B15</f>
        <v>10254281</v>
      </c>
      <c r="C10" s="17">
        <f t="shared" si="0"/>
        <v>3872803</v>
      </c>
      <c r="D10" s="17"/>
      <c r="E10" s="17">
        <f t="shared" si="0"/>
        <v>423091</v>
      </c>
      <c r="F10" s="17">
        <f t="shared" si="0"/>
        <v>14550175</v>
      </c>
      <c r="G10" s="17">
        <f t="shared" si="0"/>
        <v>9953039</v>
      </c>
      <c r="H10" s="17">
        <f t="shared" si="0"/>
        <v>3413970</v>
      </c>
      <c r="I10" s="17"/>
      <c r="J10" s="17">
        <f t="shared" si="0"/>
        <v>198378</v>
      </c>
      <c r="K10" s="17">
        <f t="shared" si="0"/>
        <v>13565387</v>
      </c>
      <c r="L10" s="17">
        <f t="shared" si="0"/>
        <v>301242</v>
      </c>
      <c r="M10" s="17">
        <f t="shared" si="0"/>
        <v>458833</v>
      </c>
      <c r="N10" s="17"/>
      <c r="O10" s="17">
        <f t="shared" si="0"/>
        <v>224713</v>
      </c>
      <c r="P10" s="17">
        <f t="shared" si="0"/>
        <v>984788</v>
      </c>
      <c r="Q10" s="18">
        <f>+K10/F10</f>
        <v>0.93231778999221659</v>
      </c>
    </row>
    <row r="11" spans="1:18" ht="12.75" customHeight="1">
      <c r="A11" s="41" t="s">
        <v>15</v>
      </c>
      <c r="B11" s="20">
        <f t="shared" ref="B11:P11" si="1">+B12+B13+B14</f>
        <v>10254281</v>
      </c>
      <c r="C11" s="20">
        <f t="shared" si="1"/>
        <v>3602567</v>
      </c>
      <c r="D11" s="20"/>
      <c r="E11" s="20">
        <f t="shared" si="1"/>
        <v>318811</v>
      </c>
      <c r="F11" s="20">
        <f t="shared" si="1"/>
        <v>14175659</v>
      </c>
      <c r="G11" s="20">
        <f t="shared" si="1"/>
        <v>9953039</v>
      </c>
      <c r="H11" s="20">
        <f t="shared" si="1"/>
        <v>3216775</v>
      </c>
      <c r="I11" s="20"/>
      <c r="J11" s="20">
        <f t="shared" si="1"/>
        <v>94858</v>
      </c>
      <c r="K11" s="20">
        <f t="shared" si="1"/>
        <v>13264672</v>
      </c>
      <c r="L11" s="20">
        <f t="shared" si="1"/>
        <v>301242</v>
      </c>
      <c r="M11" s="20">
        <f t="shared" si="1"/>
        <v>385792</v>
      </c>
      <c r="N11" s="20"/>
      <c r="O11" s="20">
        <f t="shared" si="1"/>
        <v>223953</v>
      </c>
      <c r="P11" s="21">
        <f t="shared" si="1"/>
        <v>910987</v>
      </c>
      <c r="Q11" s="18"/>
    </row>
    <row r="12" spans="1:18" ht="12.75" customHeight="1">
      <c r="A12" s="22" t="s">
        <v>16</v>
      </c>
      <c r="B12" s="23">
        <f t="shared" ref="B12:E14" si="2">+B22+B31+B40+B49+B58+B68+B77+B86+B95+B104</f>
        <v>7843584</v>
      </c>
      <c r="C12" s="23">
        <f t="shared" si="2"/>
        <v>2770284</v>
      </c>
      <c r="D12" s="23"/>
      <c r="E12" s="23">
        <f t="shared" si="2"/>
        <v>283006</v>
      </c>
      <c r="F12" s="24">
        <f>SUM(B12:E12)</f>
        <v>10896874</v>
      </c>
      <c r="G12" s="23">
        <f t="shared" ref="G12:J14" si="3">+G22+G31+G40+G49+G58+G68+G77+G86+G95+G104</f>
        <v>7726748</v>
      </c>
      <c r="H12" s="23">
        <f t="shared" si="3"/>
        <v>2552056</v>
      </c>
      <c r="I12" s="23"/>
      <c r="J12" s="23">
        <f t="shared" si="3"/>
        <v>70697</v>
      </c>
      <c r="K12" s="24">
        <f>SUM(G12:J12)</f>
        <v>10349501</v>
      </c>
      <c r="L12" s="25">
        <f t="shared" ref="L12:M14" si="4">+B12-G12</f>
        <v>116836</v>
      </c>
      <c r="M12" s="25">
        <f t="shared" si="4"/>
        <v>218228</v>
      </c>
      <c r="N12" s="25"/>
      <c r="O12" s="25">
        <f>+E12-J12</f>
        <v>212309</v>
      </c>
      <c r="P12" s="26">
        <f>SUM(L12:O12)</f>
        <v>547373</v>
      </c>
      <c r="Q12" s="18"/>
    </row>
    <row r="13" spans="1:18" ht="12.75" customHeight="1">
      <c r="A13" s="22" t="s">
        <v>17</v>
      </c>
      <c r="B13" s="23">
        <f t="shared" si="2"/>
        <v>1802522</v>
      </c>
      <c r="C13" s="23">
        <f t="shared" si="2"/>
        <v>502910</v>
      </c>
      <c r="D13" s="23"/>
      <c r="E13" s="23">
        <f t="shared" si="2"/>
        <v>7678</v>
      </c>
      <c r="F13" s="24">
        <f>SUM(B13:E13)</f>
        <v>2313110</v>
      </c>
      <c r="G13" s="23">
        <f t="shared" si="3"/>
        <v>1768063</v>
      </c>
      <c r="H13" s="23">
        <f t="shared" si="3"/>
        <v>346109</v>
      </c>
      <c r="I13" s="23"/>
      <c r="J13" s="23">
        <f t="shared" si="3"/>
        <v>0</v>
      </c>
      <c r="K13" s="24">
        <f>SUM(G13:J13)</f>
        <v>2114172</v>
      </c>
      <c r="L13" s="25">
        <f t="shared" si="4"/>
        <v>34459</v>
      </c>
      <c r="M13" s="25">
        <f t="shared" si="4"/>
        <v>156801</v>
      </c>
      <c r="N13" s="25"/>
      <c r="O13" s="25">
        <f>+E13-J13</f>
        <v>7678</v>
      </c>
      <c r="P13" s="26">
        <f>SUM(L13:O13)</f>
        <v>198938</v>
      </c>
      <c r="Q13" s="18"/>
    </row>
    <row r="14" spans="1:18" ht="12.75" customHeight="1">
      <c r="A14" s="22" t="s">
        <v>18</v>
      </c>
      <c r="B14" s="23">
        <f t="shared" si="2"/>
        <v>608175</v>
      </c>
      <c r="C14" s="23">
        <f t="shared" si="2"/>
        <v>329373</v>
      </c>
      <c r="D14" s="23"/>
      <c r="E14" s="23">
        <f t="shared" si="2"/>
        <v>28127</v>
      </c>
      <c r="F14" s="24">
        <f>SUM(B14:E14)</f>
        <v>965675</v>
      </c>
      <c r="G14" s="23">
        <f t="shared" si="3"/>
        <v>458228</v>
      </c>
      <c r="H14" s="23">
        <f t="shared" si="3"/>
        <v>318610</v>
      </c>
      <c r="I14" s="23"/>
      <c r="J14" s="23">
        <f t="shared" si="3"/>
        <v>24161</v>
      </c>
      <c r="K14" s="24">
        <f>SUM(G14:J14)</f>
        <v>800999</v>
      </c>
      <c r="L14" s="25">
        <f t="shared" si="4"/>
        <v>149947</v>
      </c>
      <c r="M14" s="25">
        <f t="shared" si="4"/>
        <v>10763</v>
      </c>
      <c r="N14" s="25"/>
      <c r="O14" s="25">
        <f>+E14-J14</f>
        <v>3966</v>
      </c>
      <c r="P14" s="26">
        <f>SUM(L14:O14)</f>
        <v>164676</v>
      </c>
      <c r="Q14" s="18"/>
    </row>
    <row r="15" spans="1:18" ht="12.75" customHeight="1">
      <c r="A15" s="22" t="s">
        <v>30</v>
      </c>
      <c r="B15" s="23">
        <f t="shared" ref="B15:P15" si="5">+B61</f>
        <v>0</v>
      </c>
      <c r="C15" s="23">
        <f t="shared" si="5"/>
        <v>49127</v>
      </c>
      <c r="D15" s="23"/>
      <c r="E15" s="23">
        <f t="shared" si="5"/>
        <v>873</v>
      </c>
      <c r="F15" s="23">
        <f t="shared" si="5"/>
        <v>50000</v>
      </c>
      <c r="G15" s="23">
        <f t="shared" si="5"/>
        <v>0</v>
      </c>
      <c r="H15" s="23">
        <f t="shared" si="5"/>
        <v>39751</v>
      </c>
      <c r="I15" s="23"/>
      <c r="J15" s="23">
        <f t="shared" si="5"/>
        <v>873</v>
      </c>
      <c r="K15" s="23">
        <f t="shared" si="5"/>
        <v>40624</v>
      </c>
      <c r="L15" s="23">
        <f t="shared" si="5"/>
        <v>0</v>
      </c>
      <c r="M15" s="23">
        <f t="shared" si="5"/>
        <v>9376</v>
      </c>
      <c r="N15" s="23"/>
      <c r="O15" s="23">
        <f t="shared" si="5"/>
        <v>0</v>
      </c>
      <c r="P15" s="23">
        <f t="shared" si="5"/>
        <v>9376</v>
      </c>
      <c r="Q15" s="18"/>
    </row>
    <row r="16" spans="1:18" ht="12.75" customHeight="1">
      <c r="A16" s="22" t="s">
        <v>19</v>
      </c>
      <c r="B16" s="44">
        <f t="shared" ref="B16:P16" si="6">+B17+B18</f>
        <v>0</v>
      </c>
      <c r="C16" s="44">
        <f t="shared" si="6"/>
        <v>221109</v>
      </c>
      <c r="D16" s="44"/>
      <c r="E16" s="45">
        <f t="shared" si="6"/>
        <v>103407</v>
      </c>
      <c r="F16" s="44">
        <f t="shared" si="6"/>
        <v>324516</v>
      </c>
      <c r="G16" s="44">
        <f t="shared" si="6"/>
        <v>0</v>
      </c>
      <c r="H16" s="44">
        <f t="shared" si="6"/>
        <v>157444</v>
      </c>
      <c r="I16" s="44"/>
      <c r="J16" s="45">
        <f t="shared" si="6"/>
        <v>102647</v>
      </c>
      <c r="K16" s="44">
        <f t="shared" si="6"/>
        <v>260091</v>
      </c>
      <c r="L16" s="44">
        <f t="shared" si="6"/>
        <v>0</v>
      </c>
      <c r="M16" s="44">
        <f t="shared" si="6"/>
        <v>63665</v>
      </c>
      <c r="N16" s="44"/>
      <c r="O16" s="44">
        <f t="shared" si="6"/>
        <v>760</v>
      </c>
      <c r="P16" s="45">
        <f t="shared" si="6"/>
        <v>64425</v>
      </c>
      <c r="Q16" s="18"/>
    </row>
    <row r="17" spans="1:17" ht="12.75" customHeight="1">
      <c r="A17" s="23" t="s">
        <v>20</v>
      </c>
      <c r="B17" s="23">
        <f t="shared" ref="B17:E18" si="7">+B26+B35+B44+B53+B63+B72+B81+B90+B99+B108</f>
        <v>0</v>
      </c>
      <c r="C17" s="23">
        <f t="shared" si="7"/>
        <v>221109</v>
      </c>
      <c r="D17" s="23"/>
      <c r="E17" s="23">
        <f t="shared" si="7"/>
        <v>103407</v>
      </c>
      <c r="F17" s="24">
        <f>SUM(B17:E17)</f>
        <v>324516</v>
      </c>
      <c r="G17" s="23">
        <f t="shared" ref="G17:J18" si="8">+G26+G35+G44+G53+G63+G72+G81+G90+G99+G108</f>
        <v>0</v>
      </c>
      <c r="H17" s="23">
        <f t="shared" si="8"/>
        <v>157444</v>
      </c>
      <c r="I17" s="23"/>
      <c r="J17" s="23">
        <f t="shared" si="8"/>
        <v>102647</v>
      </c>
      <c r="K17" s="24">
        <f>SUM(G17:J17)</f>
        <v>260091</v>
      </c>
      <c r="L17" s="25">
        <f>+B17-G17</f>
        <v>0</v>
      </c>
      <c r="M17" s="25">
        <f>+C17-H17</f>
        <v>63665</v>
      </c>
      <c r="N17" s="25"/>
      <c r="O17" s="25">
        <f>+E17-J17</f>
        <v>760</v>
      </c>
      <c r="P17" s="26">
        <f>SUM(L17:O17)</f>
        <v>64425</v>
      </c>
      <c r="Q17" s="18"/>
    </row>
    <row r="18" spans="1:17" ht="12.75" customHeight="1">
      <c r="A18" s="23" t="s">
        <v>21</v>
      </c>
      <c r="B18" s="23">
        <f t="shared" si="7"/>
        <v>0</v>
      </c>
      <c r="C18" s="23">
        <f t="shared" si="7"/>
        <v>0</v>
      </c>
      <c r="D18" s="23"/>
      <c r="E18" s="23">
        <f t="shared" si="7"/>
        <v>0</v>
      </c>
      <c r="F18" s="26">
        <f>SUM(B18:E18)</f>
        <v>0</v>
      </c>
      <c r="G18" s="23">
        <f t="shared" si="8"/>
        <v>0</v>
      </c>
      <c r="H18" s="23">
        <f t="shared" si="8"/>
        <v>0</v>
      </c>
      <c r="I18" s="23"/>
      <c r="J18" s="23">
        <f t="shared" si="8"/>
        <v>0</v>
      </c>
      <c r="K18" s="26">
        <f>SUM(G18:J18)</f>
        <v>0</v>
      </c>
      <c r="L18" s="25">
        <f>+B18-G18</f>
        <v>0</v>
      </c>
      <c r="M18" s="25">
        <f>+C18-H18</f>
        <v>0</v>
      </c>
      <c r="N18" s="25"/>
      <c r="O18" s="25">
        <f>+E18-J18</f>
        <v>0</v>
      </c>
      <c r="P18" s="26">
        <f>SUM(L18:O18)</f>
        <v>0</v>
      </c>
      <c r="Q18" s="18"/>
    </row>
    <row r="19" spans="1:17" ht="12.75" customHeight="1">
      <c r="A19" s="53"/>
      <c r="B19" s="24"/>
      <c r="C19" s="24"/>
      <c r="D19" s="24"/>
      <c r="E19" s="24"/>
      <c r="F19" s="24"/>
      <c r="G19" s="32"/>
      <c r="H19" s="32"/>
      <c r="I19" s="32"/>
      <c r="J19" s="32"/>
      <c r="K19" s="32"/>
      <c r="L19" s="24"/>
      <c r="M19" s="24"/>
      <c r="N19" s="24"/>
      <c r="O19" s="24"/>
      <c r="P19" s="26"/>
      <c r="Q19" s="18"/>
    </row>
    <row r="20" spans="1:17" ht="12.75" customHeight="1">
      <c r="A20" s="33" t="s">
        <v>31</v>
      </c>
      <c r="B20" s="17">
        <f t="shared" ref="B20:K20" si="9">+B21+B25</f>
        <v>4407054</v>
      </c>
      <c r="C20" s="17">
        <f t="shared" si="9"/>
        <v>683282</v>
      </c>
      <c r="D20" s="17">
        <f t="shared" si="9"/>
        <v>0</v>
      </c>
      <c r="E20" s="17">
        <f t="shared" si="9"/>
        <v>198068</v>
      </c>
      <c r="F20" s="17">
        <f t="shared" si="9"/>
        <v>5288404</v>
      </c>
      <c r="G20" s="17">
        <f t="shared" si="9"/>
        <v>4220275</v>
      </c>
      <c r="H20" s="17">
        <f t="shared" si="9"/>
        <v>559349</v>
      </c>
      <c r="I20" s="17">
        <f t="shared" si="9"/>
        <v>0</v>
      </c>
      <c r="J20" s="17">
        <f t="shared" si="9"/>
        <v>81154</v>
      </c>
      <c r="K20" s="17">
        <f t="shared" si="9"/>
        <v>4860778</v>
      </c>
      <c r="L20" s="17">
        <f>+L21+L25</f>
        <v>186779</v>
      </c>
      <c r="M20" s="17">
        <f>+M21+M25</f>
        <v>123933</v>
      </c>
      <c r="N20" s="17"/>
      <c r="O20" s="17">
        <f>+O21+O25</f>
        <v>116914</v>
      </c>
      <c r="P20" s="17">
        <f>+P21+P25</f>
        <v>427626</v>
      </c>
      <c r="Q20" s="18">
        <f>+K20/F20</f>
        <v>0.9191389311406617</v>
      </c>
    </row>
    <row r="21" spans="1:17" ht="12.75" customHeight="1">
      <c r="A21" s="41" t="s">
        <v>15</v>
      </c>
      <c r="B21" s="20">
        <f t="shared" ref="B21:K21" si="10">+B22+B23+B24</f>
        <v>4407054</v>
      </c>
      <c r="C21" s="20">
        <f t="shared" si="10"/>
        <v>578601</v>
      </c>
      <c r="D21" s="20">
        <f t="shared" si="10"/>
        <v>0</v>
      </c>
      <c r="E21" s="20">
        <f t="shared" si="10"/>
        <v>117678</v>
      </c>
      <c r="F21" s="20">
        <f t="shared" si="10"/>
        <v>5103333</v>
      </c>
      <c r="G21" s="20">
        <f t="shared" si="10"/>
        <v>4220275</v>
      </c>
      <c r="H21" s="20">
        <f t="shared" si="10"/>
        <v>459772</v>
      </c>
      <c r="I21" s="20">
        <f t="shared" si="10"/>
        <v>0</v>
      </c>
      <c r="J21" s="20">
        <f t="shared" si="10"/>
        <v>784</v>
      </c>
      <c r="K21" s="20">
        <f t="shared" si="10"/>
        <v>4680831</v>
      </c>
      <c r="L21" s="20">
        <f>+L22+L23+L24</f>
        <v>186779</v>
      </c>
      <c r="M21" s="20">
        <f>+M22+M23+M24</f>
        <v>118829</v>
      </c>
      <c r="N21" s="20"/>
      <c r="O21" s="20">
        <f>+O22+O23+O24</f>
        <v>116894</v>
      </c>
      <c r="P21" s="21">
        <f>+P22+P23+P24</f>
        <v>422502</v>
      </c>
      <c r="Q21" s="18"/>
    </row>
    <row r="22" spans="1:17" ht="12.75" customHeight="1">
      <c r="A22" s="22" t="s">
        <v>16</v>
      </c>
      <c r="B22" s="29">
        <v>2816071</v>
      </c>
      <c r="C22" s="29">
        <v>534501</v>
      </c>
      <c r="D22" s="29"/>
      <c r="E22" s="30">
        <v>110000</v>
      </c>
      <c r="F22" s="24">
        <f>SUM(B22:E22)</f>
        <v>3460572</v>
      </c>
      <c r="G22" s="29">
        <f>2763608</f>
        <v>2763608</v>
      </c>
      <c r="H22" s="29">
        <f>458784+988</f>
        <v>459772</v>
      </c>
      <c r="I22" s="29"/>
      <c r="J22" s="29">
        <v>784</v>
      </c>
      <c r="K22" s="24">
        <f>SUM(G22:J22)</f>
        <v>3224164</v>
      </c>
      <c r="L22" s="25">
        <f t="shared" ref="L22:M24" si="11">+B22-G22</f>
        <v>52463</v>
      </c>
      <c r="M22" s="25">
        <f t="shared" si="11"/>
        <v>74729</v>
      </c>
      <c r="N22" s="25"/>
      <c r="O22" s="25">
        <f>+E22-J22</f>
        <v>109216</v>
      </c>
      <c r="P22" s="26">
        <f>SUM(L22:O22)</f>
        <v>236408</v>
      </c>
      <c r="Q22" s="18"/>
    </row>
    <row r="23" spans="1:17" ht="12.75" customHeight="1">
      <c r="A23" s="22" t="s">
        <v>17</v>
      </c>
      <c r="B23" s="29">
        <v>1349122</v>
      </c>
      <c r="C23" s="29">
        <v>44100</v>
      </c>
      <c r="D23" s="29"/>
      <c r="E23" s="30">
        <v>7678</v>
      </c>
      <c r="F23" s="24">
        <f>SUM(B23:E23)</f>
        <v>1400900</v>
      </c>
      <c r="G23" s="29">
        <f>1279652+66831+1547+21</f>
        <v>1348051</v>
      </c>
      <c r="H23" s="29"/>
      <c r="I23" s="29"/>
      <c r="J23" s="34"/>
      <c r="K23" s="24">
        <f>SUM(G23:J23)</f>
        <v>1348051</v>
      </c>
      <c r="L23" s="25">
        <f t="shared" si="11"/>
        <v>1071</v>
      </c>
      <c r="M23" s="25">
        <f t="shared" si="11"/>
        <v>44100</v>
      </c>
      <c r="N23" s="25"/>
      <c r="O23" s="25">
        <f>+E23-J23</f>
        <v>7678</v>
      </c>
      <c r="P23" s="26">
        <f>SUM(L23:O23)</f>
        <v>52849</v>
      </c>
      <c r="Q23" s="18"/>
    </row>
    <row r="24" spans="1:17" ht="12.75" customHeight="1">
      <c r="A24" s="22" t="s">
        <v>18</v>
      </c>
      <c r="B24" s="29">
        <v>241861</v>
      </c>
      <c r="C24" s="34"/>
      <c r="D24" s="34"/>
      <c r="E24" s="30"/>
      <c r="F24" s="24">
        <f>SUM(B24:E24)</f>
        <v>241861</v>
      </c>
      <c r="G24" s="29">
        <v>108616</v>
      </c>
      <c r="H24" s="34"/>
      <c r="I24" s="34"/>
      <c r="J24" s="29"/>
      <c r="K24" s="24">
        <f>SUM(G24:J24)</f>
        <v>108616</v>
      </c>
      <c r="L24" s="25">
        <f t="shared" si="11"/>
        <v>133245</v>
      </c>
      <c r="M24" s="25">
        <f t="shared" si="11"/>
        <v>0</v>
      </c>
      <c r="N24" s="25"/>
      <c r="O24" s="25">
        <f>+E24-J24</f>
        <v>0</v>
      </c>
      <c r="P24" s="26">
        <f>SUM(L24:O24)</f>
        <v>133245</v>
      </c>
      <c r="Q24" s="18"/>
    </row>
    <row r="25" spans="1:17" ht="12.75" customHeight="1">
      <c r="A25" s="22" t="s">
        <v>19</v>
      </c>
      <c r="B25" s="27">
        <f t="shared" ref="B25:K25" si="12">+B26+B27</f>
        <v>0</v>
      </c>
      <c r="C25" s="27">
        <f t="shared" si="12"/>
        <v>104681</v>
      </c>
      <c r="D25" s="27">
        <f t="shared" si="12"/>
        <v>0</v>
      </c>
      <c r="E25" s="27">
        <f t="shared" si="12"/>
        <v>80390</v>
      </c>
      <c r="F25" s="27">
        <f t="shared" si="12"/>
        <v>185071</v>
      </c>
      <c r="G25" s="27">
        <f t="shared" si="12"/>
        <v>0</v>
      </c>
      <c r="H25" s="27">
        <f t="shared" si="12"/>
        <v>99577</v>
      </c>
      <c r="I25" s="27">
        <f t="shared" si="12"/>
        <v>0</v>
      </c>
      <c r="J25" s="27">
        <f t="shared" si="12"/>
        <v>80370</v>
      </c>
      <c r="K25" s="27">
        <f t="shared" si="12"/>
        <v>179947</v>
      </c>
      <c r="L25" s="27">
        <f>+L26+L27</f>
        <v>0</v>
      </c>
      <c r="M25" s="27">
        <f>+M26+M27</f>
        <v>5104</v>
      </c>
      <c r="N25" s="27"/>
      <c r="O25" s="27">
        <f>+O26+O27</f>
        <v>20</v>
      </c>
      <c r="P25" s="28">
        <f>+P26+P27</f>
        <v>5124</v>
      </c>
      <c r="Q25" s="18"/>
    </row>
    <row r="26" spans="1:17" ht="12.75" customHeight="1">
      <c r="A26" s="23" t="s">
        <v>20</v>
      </c>
      <c r="B26" s="29"/>
      <c r="C26" s="29">
        <v>104681</v>
      </c>
      <c r="D26" s="29"/>
      <c r="E26" s="30">
        <v>80390</v>
      </c>
      <c r="F26" s="24">
        <f>SUM(B26:E26)</f>
        <v>185071</v>
      </c>
      <c r="G26" s="29"/>
      <c r="H26" s="29">
        <f>54669+36710+8198</f>
        <v>99577</v>
      </c>
      <c r="I26" s="29"/>
      <c r="J26" s="29">
        <f>3229+1+77140</f>
        <v>80370</v>
      </c>
      <c r="K26" s="24">
        <f>SUM(G26:J26)</f>
        <v>179947</v>
      </c>
      <c r="L26" s="25">
        <f>+B26-G26</f>
        <v>0</v>
      </c>
      <c r="M26" s="25">
        <f>+C26-H26</f>
        <v>5104</v>
      </c>
      <c r="N26" s="25"/>
      <c r="O26" s="25">
        <f>+E26-J26</f>
        <v>20</v>
      </c>
      <c r="P26" s="26">
        <f>SUM(L26:O26)</f>
        <v>5124</v>
      </c>
      <c r="Q26" s="18"/>
    </row>
    <row r="27" spans="1:17" ht="12.75" customHeight="1">
      <c r="A27" s="23" t="s">
        <v>21</v>
      </c>
      <c r="B27" s="29"/>
      <c r="C27" s="29"/>
      <c r="D27" s="29"/>
      <c r="E27" s="30"/>
      <c r="F27" s="24">
        <f>SUM(B27:E27)</f>
        <v>0</v>
      </c>
      <c r="G27" s="29"/>
      <c r="H27" s="29"/>
      <c r="I27" s="29"/>
      <c r="J27" s="29"/>
      <c r="K27" s="24">
        <f>SUM(G27:J27)</f>
        <v>0</v>
      </c>
      <c r="L27" s="25">
        <f>+B27-G27</f>
        <v>0</v>
      </c>
      <c r="M27" s="25">
        <f>+C27-H27</f>
        <v>0</v>
      </c>
      <c r="N27" s="25"/>
      <c r="O27" s="25">
        <f>+E27-J27</f>
        <v>0</v>
      </c>
      <c r="P27" s="26">
        <f>SUM(L27:O27)</f>
        <v>0</v>
      </c>
      <c r="Q27" s="18"/>
    </row>
    <row r="28" spans="1:17" ht="12.75" customHeight="1">
      <c r="A28" s="33"/>
      <c r="B28" s="24"/>
      <c r="C28" s="24"/>
      <c r="D28" s="24"/>
      <c r="E28" s="24"/>
      <c r="F28" s="24"/>
      <c r="G28" s="32"/>
      <c r="H28" s="32"/>
      <c r="I28" s="32"/>
      <c r="J28" s="32"/>
      <c r="K28" s="32"/>
      <c r="L28" s="24"/>
      <c r="M28" s="24"/>
      <c r="N28" s="24"/>
      <c r="O28" s="24"/>
      <c r="P28" s="26"/>
      <c r="Q28" s="18"/>
    </row>
    <row r="29" spans="1:17" ht="12.75" customHeight="1">
      <c r="A29" s="33" t="s">
        <v>83</v>
      </c>
      <c r="B29" s="17">
        <f t="shared" ref="B29:K29" si="13">+B30+B34</f>
        <v>766586</v>
      </c>
      <c r="C29" s="17">
        <f t="shared" si="13"/>
        <v>1254017</v>
      </c>
      <c r="D29" s="17">
        <f t="shared" si="13"/>
        <v>0</v>
      </c>
      <c r="E29" s="17">
        <f t="shared" si="13"/>
        <v>83379</v>
      </c>
      <c r="F29" s="17">
        <f t="shared" si="13"/>
        <v>2103982</v>
      </c>
      <c r="G29" s="17">
        <f t="shared" si="13"/>
        <v>753922</v>
      </c>
      <c r="H29" s="17">
        <f t="shared" si="13"/>
        <v>1214771</v>
      </c>
      <c r="I29" s="17">
        <f t="shared" si="13"/>
        <v>0</v>
      </c>
      <c r="J29" s="17">
        <f t="shared" si="13"/>
        <v>67384</v>
      </c>
      <c r="K29" s="17">
        <f t="shared" si="13"/>
        <v>2036077</v>
      </c>
      <c r="L29" s="17">
        <f t="shared" ref="L29:P29" si="14">+L30+L34</f>
        <v>12664</v>
      </c>
      <c r="M29" s="17">
        <f t="shared" si="14"/>
        <v>39246</v>
      </c>
      <c r="N29" s="17"/>
      <c r="O29" s="17">
        <f t="shared" si="14"/>
        <v>15995</v>
      </c>
      <c r="P29" s="17">
        <f t="shared" si="14"/>
        <v>67905</v>
      </c>
      <c r="Q29" s="18">
        <f>+K29/F29</f>
        <v>0.96772548434349726</v>
      </c>
    </row>
    <row r="30" spans="1:17" ht="12.75" customHeight="1">
      <c r="A30" s="41" t="s">
        <v>15</v>
      </c>
      <c r="B30" s="20">
        <f t="shared" ref="B30:K30" si="15">+B31+B32+B33</f>
        <v>766586</v>
      </c>
      <c r="C30" s="20">
        <f t="shared" si="15"/>
        <v>1176822</v>
      </c>
      <c r="D30" s="20">
        <f t="shared" si="15"/>
        <v>0</v>
      </c>
      <c r="E30" s="20">
        <f t="shared" si="15"/>
        <v>73812</v>
      </c>
      <c r="F30" s="20">
        <f t="shared" si="15"/>
        <v>2017220</v>
      </c>
      <c r="G30" s="20">
        <f t="shared" si="15"/>
        <v>753922</v>
      </c>
      <c r="H30" s="20">
        <f t="shared" si="15"/>
        <v>1165838</v>
      </c>
      <c r="I30" s="20">
        <f t="shared" si="15"/>
        <v>0</v>
      </c>
      <c r="J30" s="20">
        <f t="shared" si="15"/>
        <v>57817</v>
      </c>
      <c r="K30" s="20">
        <f t="shared" si="15"/>
        <v>1977577</v>
      </c>
      <c r="L30" s="20">
        <f t="shared" ref="L30:P30" si="16">+L31+L32+L33</f>
        <v>12664</v>
      </c>
      <c r="M30" s="20">
        <f t="shared" si="16"/>
        <v>10984</v>
      </c>
      <c r="N30" s="20"/>
      <c r="O30" s="20">
        <f t="shared" si="16"/>
        <v>15995</v>
      </c>
      <c r="P30" s="21">
        <f t="shared" si="16"/>
        <v>39643</v>
      </c>
      <c r="Q30" s="18"/>
    </row>
    <row r="31" spans="1:17" ht="12.75" customHeight="1">
      <c r="A31" s="22" t="s">
        <v>16</v>
      </c>
      <c r="B31" s="29">
        <v>655864</v>
      </c>
      <c r="C31" s="29">
        <v>1176822</v>
      </c>
      <c r="D31" s="29"/>
      <c r="E31" s="30">
        <v>52665</v>
      </c>
      <c r="F31" s="24">
        <f>SUM(B31:E31)</f>
        <v>1885351</v>
      </c>
      <c r="G31" s="29">
        <v>655476</v>
      </c>
      <c r="H31" s="29">
        <v>1165838</v>
      </c>
      <c r="I31" s="29"/>
      <c r="J31" s="29">
        <v>40636</v>
      </c>
      <c r="K31" s="24">
        <f>SUM(G31:J31)</f>
        <v>1861950</v>
      </c>
      <c r="L31" s="25">
        <f t="shared" ref="L31:M33" si="17">+B31-G31</f>
        <v>388</v>
      </c>
      <c r="M31" s="25">
        <f t="shared" si="17"/>
        <v>10984</v>
      </c>
      <c r="N31" s="25"/>
      <c r="O31" s="25">
        <f>+E31-J31</f>
        <v>12029</v>
      </c>
      <c r="P31" s="26">
        <f>SUM(L31:O31)</f>
        <v>23401</v>
      </c>
      <c r="Q31" s="18"/>
    </row>
    <row r="32" spans="1:17" ht="12.75" customHeight="1">
      <c r="A32" s="22" t="s">
        <v>17</v>
      </c>
      <c r="B32" s="29">
        <v>54746</v>
      </c>
      <c r="C32" s="34"/>
      <c r="D32" s="34"/>
      <c r="E32" s="30"/>
      <c r="F32" s="24">
        <f>SUM(B32:E32)</f>
        <v>54746</v>
      </c>
      <c r="G32" s="29">
        <f>15090+18334+12733</f>
        <v>46157</v>
      </c>
      <c r="H32" s="34"/>
      <c r="I32" s="34"/>
      <c r="J32" s="34"/>
      <c r="K32" s="24">
        <f>SUM(G32:J32)</f>
        <v>46157</v>
      </c>
      <c r="L32" s="25">
        <f t="shared" si="17"/>
        <v>8589</v>
      </c>
      <c r="M32" s="25">
        <f t="shared" si="17"/>
        <v>0</v>
      </c>
      <c r="N32" s="25"/>
      <c r="O32" s="25">
        <f>+E32-J32</f>
        <v>0</v>
      </c>
      <c r="P32" s="26">
        <f>SUM(L32:O32)</f>
        <v>8589</v>
      </c>
      <c r="Q32" s="18"/>
    </row>
    <row r="33" spans="1:17" ht="12.75" customHeight="1">
      <c r="A33" s="22" t="s">
        <v>18</v>
      </c>
      <c r="B33" s="29">
        <v>55976</v>
      </c>
      <c r="C33" s="34"/>
      <c r="D33" s="34"/>
      <c r="E33" s="30">
        <v>21147</v>
      </c>
      <c r="F33" s="24">
        <f>SUM(B33:E33)</f>
        <v>77123</v>
      </c>
      <c r="G33" s="29">
        <v>52289</v>
      </c>
      <c r="H33" s="34"/>
      <c r="I33" s="34"/>
      <c r="J33" s="34">
        <v>17181</v>
      </c>
      <c r="K33" s="24">
        <f>SUM(G33:J33)</f>
        <v>69470</v>
      </c>
      <c r="L33" s="25">
        <f t="shared" si="17"/>
        <v>3687</v>
      </c>
      <c r="M33" s="25">
        <f t="shared" si="17"/>
        <v>0</v>
      </c>
      <c r="N33" s="25"/>
      <c r="O33" s="25">
        <f>+E33-J33</f>
        <v>3966</v>
      </c>
      <c r="P33" s="26">
        <f>SUM(L33:O33)</f>
        <v>7653</v>
      </c>
      <c r="Q33" s="18"/>
    </row>
    <row r="34" spans="1:17" ht="12.75" customHeight="1">
      <c r="A34" s="22" t="s">
        <v>19</v>
      </c>
      <c r="B34" s="27">
        <f t="shared" ref="B34:K34" si="18">+B35+B36</f>
        <v>0</v>
      </c>
      <c r="C34" s="27">
        <f t="shared" si="18"/>
        <v>77195</v>
      </c>
      <c r="D34" s="27">
        <f t="shared" si="18"/>
        <v>0</v>
      </c>
      <c r="E34" s="27">
        <f t="shared" si="18"/>
        <v>9567</v>
      </c>
      <c r="F34" s="27">
        <f t="shared" si="18"/>
        <v>86762</v>
      </c>
      <c r="G34" s="27">
        <f t="shared" si="18"/>
        <v>0</v>
      </c>
      <c r="H34" s="27">
        <f t="shared" si="18"/>
        <v>48933</v>
      </c>
      <c r="I34" s="27">
        <f t="shared" si="18"/>
        <v>0</v>
      </c>
      <c r="J34" s="27">
        <f t="shared" si="18"/>
        <v>9567</v>
      </c>
      <c r="K34" s="27">
        <f t="shared" si="18"/>
        <v>58500</v>
      </c>
      <c r="L34" s="27">
        <f t="shared" ref="L34:P34" si="19">+L35+L36</f>
        <v>0</v>
      </c>
      <c r="M34" s="27">
        <f t="shared" si="19"/>
        <v>28262</v>
      </c>
      <c r="N34" s="27"/>
      <c r="O34" s="27">
        <f t="shared" si="19"/>
        <v>0</v>
      </c>
      <c r="P34" s="28">
        <f t="shared" si="19"/>
        <v>28262</v>
      </c>
      <c r="Q34" s="18"/>
    </row>
    <row r="35" spans="1:17" ht="12.75" customHeight="1">
      <c r="A35" s="23" t="s">
        <v>20</v>
      </c>
      <c r="B35" s="29"/>
      <c r="C35" s="29">
        <v>77195</v>
      </c>
      <c r="D35" s="29"/>
      <c r="E35" s="30">
        <v>9567</v>
      </c>
      <c r="F35" s="24">
        <f>SUM(B35:E35)</f>
        <v>86762</v>
      </c>
      <c r="G35" s="29"/>
      <c r="H35" s="29">
        <f>6729+19221+22983</f>
        <v>48933</v>
      </c>
      <c r="I35" s="29"/>
      <c r="J35" s="29">
        <f>32550-22983</f>
        <v>9567</v>
      </c>
      <c r="K35" s="24">
        <f>SUM(G35:J35)</f>
        <v>58500</v>
      </c>
      <c r="L35" s="25">
        <f>+B35-G35</f>
        <v>0</v>
      </c>
      <c r="M35" s="25">
        <f>+C35-H35</f>
        <v>28262</v>
      </c>
      <c r="N35" s="25"/>
      <c r="O35" s="25">
        <f>+E35-J35</f>
        <v>0</v>
      </c>
      <c r="P35" s="26">
        <f>SUM(L35:O35)</f>
        <v>28262</v>
      </c>
      <c r="Q35" s="18"/>
    </row>
    <row r="36" spans="1:17" ht="12.75" customHeight="1">
      <c r="A36" s="23" t="s">
        <v>21</v>
      </c>
      <c r="B36" s="29"/>
      <c r="C36" s="29"/>
      <c r="D36" s="29"/>
      <c r="E36" s="30"/>
      <c r="F36" s="24">
        <f>SUM(B36:E36)</f>
        <v>0</v>
      </c>
      <c r="G36" s="29"/>
      <c r="H36" s="29"/>
      <c r="I36" s="29"/>
      <c r="J36" s="29"/>
      <c r="K36" s="24">
        <f>SUM(G36:J36)</f>
        <v>0</v>
      </c>
      <c r="L36" s="25">
        <f>+B36-G36</f>
        <v>0</v>
      </c>
      <c r="M36" s="25">
        <f>+C36-H36</f>
        <v>0</v>
      </c>
      <c r="N36" s="25"/>
      <c r="O36" s="25">
        <f>+E36-J36</f>
        <v>0</v>
      </c>
      <c r="P36" s="26">
        <f>SUM(L36:O36)</f>
        <v>0</v>
      </c>
      <c r="Q36" s="18"/>
    </row>
    <row r="37" spans="1:17" ht="12.75" customHeight="1">
      <c r="A37" s="33"/>
      <c r="B37" s="24"/>
      <c r="C37" s="24"/>
      <c r="D37" s="24"/>
      <c r="E37" s="24"/>
      <c r="F37" s="24"/>
      <c r="G37" s="32"/>
      <c r="H37" s="32"/>
      <c r="I37" s="32"/>
      <c r="J37" s="32"/>
      <c r="K37" s="32"/>
      <c r="L37" s="24"/>
      <c r="M37" s="24"/>
      <c r="N37" s="24"/>
      <c r="O37" s="24"/>
      <c r="P37" s="26"/>
      <c r="Q37" s="18"/>
    </row>
    <row r="38" spans="1:17" ht="12.75" customHeight="1">
      <c r="A38" s="33" t="s">
        <v>84</v>
      </c>
      <c r="B38" s="17">
        <f t="shared" ref="B38:K38" si="20">+B39+B43</f>
        <v>444802</v>
      </c>
      <c r="C38" s="17">
        <f t="shared" si="20"/>
        <v>209475</v>
      </c>
      <c r="D38" s="17">
        <f t="shared" si="20"/>
        <v>0</v>
      </c>
      <c r="E38" s="17">
        <f t="shared" si="20"/>
        <v>70893</v>
      </c>
      <c r="F38" s="17">
        <f t="shared" si="20"/>
        <v>725170</v>
      </c>
      <c r="G38" s="17">
        <f t="shared" si="20"/>
        <v>433416</v>
      </c>
      <c r="H38" s="17">
        <f t="shared" si="20"/>
        <v>196209</v>
      </c>
      <c r="I38" s="17">
        <f t="shared" si="20"/>
        <v>0</v>
      </c>
      <c r="J38" s="17">
        <f t="shared" si="20"/>
        <v>4198</v>
      </c>
      <c r="K38" s="17">
        <f t="shared" si="20"/>
        <v>633823</v>
      </c>
      <c r="L38" s="17">
        <f>+L39+L43</f>
        <v>11386</v>
      </c>
      <c r="M38" s="17">
        <f>+M39+M43</f>
        <v>13266</v>
      </c>
      <c r="N38" s="17"/>
      <c r="O38" s="17">
        <f>+O39+O43</f>
        <v>66695</v>
      </c>
      <c r="P38" s="17">
        <f>+P39+P43</f>
        <v>91347</v>
      </c>
      <c r="Q38" s="18">
        <f>+K38/F38</f>
        <v>0.8740336748624461</v>
      </c>
    </row>
    <row r="39" spans="1:17" ht="12.75" customHeight="1">
      <c r="A39" s="41" t="s">
        <v>15</v>
      </c>
      <c r="B39" s="20">
        <f t="shared" ref="B39:K39" si="21">+B40+B41+B42</f>
        <v>444802</v>
      </c>
      <c r="C39" s="20">
        <f t="shared" si="21"/>
        <v>209475</v>
      </c>
      <c r="D39" s="20">
        <f t="shared" si="21"/>
        <v>0</v>
      </c>
      <c r="E39" s="20">
        <f t="shared" si="21"/>
        <v>70893</v>
      </c>
      <c r="F39" s="20">
        <f t="shared" si="21"/>
        <v>725170</v>
      </c>
      <c r="G39" s="20">
        <f t="shared" si="21"/>
        <v>433416</v>
      </c>
      <c r="H39" s="20">
        <f t="shared" si="21"/>
        <v>196209</v>
      </c>
      <c r="I39" s="20">
        <f t="shared" si="21"/>
        <v>0</v>
      </c>
      <c r="J39" s="20">
        <f t="shared" si="21"/>
        <v>4198</v>
      </c>
      <c r="K39" s="20">
        <f t="shared" si="21"/>
        <v>633823</v>
      </c>
      <c r="L39" s="20">
        <f>+L40+L41+L42</f>
        <v>11386</v>
      </c>
      <c r="M39" s="20">
        <f>+M40+M41+M42</f>
        <v>13266</v>
      </c>
      <c r="N39" s="20"/>
      <c r="O39" s="20">
        <f>+O40+O41+O42</f>
        <v>66695</v>
      </c>
      <c r="P39" s="21">
        <f>+P40+P41+P42</f>
        <v>91347</v>
      </c>
      <c r="Q39" s="18"/>
    </row>
    <row r="40" spans="1:17" ht="12.75" customHeight="1">
      <c r="A40" s="22" t="s">
        <v>16</v>
      </c>
      <c r="B40" s="29">
        <v>370309</v>
      </c>
      <c r="C40" s="29">
        <v>209475</v>
      </c>
      <c r="D40" s="29"/>
      <c r="E40" s="30">
        <v>70893</v>
      </c>
      <c r="F40" s="24">
        <f>SUM(B40:E40)</f>
        <v>650677</v>
      </c>
      <c r="G40" s="29">
        <v>361123</v>
      </c>
      <c r="H40" s="29">
        <v>196209</v>
      </c>
      <c r="I40" s="29"/>
      <c r="J40" s="29">
        <v>4198</v>
      </c>
      <c r="K40" s="24">
        <f>SUM(G40:J40)</f>
        <v>561530</v>
      </c>
      <c r="L40" s="25">
        <f t="shared" ref="L40:M42" si="22">+B40-G40</f>
        <v>9186</v>
      </c>
      <c r="M40" s="25">
        <f t="shared" si="22"/>
        <v>13266</v>
      </c>
      <c r="N40" s="25"/>
      <c r="O40" s="25">
        <f>+E40-J40</f>
        <v>66695</v>
      </c>
      <c r="P40" s="26">
        <f>SUM(L40:O40)</f>
        <v>89147</v>
      </c>
      <c r="Q40" s="18"/>
    </row>
    <row r="41" spans="1:17" ht="12.75" customHeight="1">
      <c r="A41" s="22" t="s">
        <v>17</v>
      </c>
      <c r="B41" s="29">
        <v>39596</v>
      </c>
      <c r="C41" s="34"/>
      <c r="D41" s="34"/>
      <c r="E41" s="30"/>
      <c r="F41" s="24">
        <f>SUM(B41:E41)</f>
        <v>39596</v>
      </c>
      <c r="G41" s="29">
        <f>23850+14121</f>
        <v>37971</v>
      </c>
      <c r="H41" s="34"/>
      <c r="I41" s="34"/>
      <c r="J41" s="34"/>
      <c r="K41" s="24">
        <f>SUM(G41:J41)</f>
        <v>37971</v>
      </c>
      <c r="L41" s="25">
        <f t="shared" si="22"/>
        <v>1625</v>
      </c>
      <c r="M41" s="25">
        <f t="shared" si="22"/>
        <v>0</v>
      </c>
      <c r="N41" s="25"/>
      <c r="O41" s="25">
        <f>+E41-J41</f>
        <v>0</v>
      </c>
      <c r="P41" s="26">
        <f>SUM(L41:O41)</f>
        <v>1625</v>
      </c>
      <c r="Q41" s="18"/>
    </row>
    <row r="42" spans="1:17" ht="12.75" customHeight="1">
      <c r="A42" s="22" t="s">
        <v>18</v>
      </c>
      <c r="B42" s="29">
        <v>34897</v>
      </c>
      <c r="C42" s="34"/>
      <c r="D42" s="34"/>
      <c r="E42" s="35"/>
      <c r="F42" s="24">
        <f>SUM(B42:E42)</f>
        <v>34897</v>
      </c>
      <c r="G42" s="29">
        <v>34322</v>
      </c>
      <c r="H42" s="34"/>
      <c r="I42" s="34"/>
      <c r="J42" s="34"/>
      <c r="K42" s="24">
        <f>SUM(G42:J42)</f>
        <v>34322</v>
      </c>
      <c r="L42" s="25">
        <f t="shared" si="22"/>
        <v>575</v>
      </c>
      <c r="M42" s="25">
        <f t="shared" si="22"/>
        <v>0</v>
      </c>
      <c r="N42" s="25"/>
      <c r="O42" s="25">
        <f>+E42-J42</f>
        <v>0</v>
      </c>
      <c r="P42" s="26">
        <f>SUM(L42:O42)</f>
        <v>575</v>
      </c>
      <c r="Q42" s="18"/>
    </row>
    <row r="43" spans="1:17" ht="12.75" customHeight="1">
      <c r="A43" s="22" t="s">
        <v>19</v>
      </c>
      <c r="B43" s="27">
        <f t="shared" ref="B43:K43" si="23">+B44+B45</f>
        <v>0</v>
      </c>
      <c r="C43" s="27">
        <f t="shared" si="23"/>
        <v>0</v>
      </c>
      <c r="D43" s="27">
        <f t="shared" si="23"/>
        <v>0</v>
      </c>
      <c r="E43" s="27">
        <f t="shared" si="23"/>
        <v>0</v>
      </c>
      <c r="F43" s="27">
        <f t="shared" si="23"/>
        <v>0</v>
      </c>
      <c r="G43" s="27">
        <f t="shared" si="23"/>
        <v>0</v>
      </c>
      <c r="H43" s="27">
        <f t="shared" si="23"/>
        <v>0</v>
      </c>
      <c r="I43" s="27">
        <f t="shared" si="23"/>
        <v>0</v>
      </c>
      <c r="J43" s="27">
        <f t="shared" si="23"/>
        <v>0</v>
      </c>
      <c r="K43" s="27">
        <f t="shared" si="23"/>
        <v>0</v>
      </c>
      <c r="L43" s="27">
        <f>+L44+L45</f>
        <v>0</v>
      </c>
      <c r="M43" s="27">
        <f>+M44+M45</f>
        <v>0</v>
      </c>
      <c r="N43" s="27"/>
      <c r="O43" s="27">
        <f>+O44+O45</f>
        <v>0</v>
      </c>
      <c r="P43" s="28">
        <f>+P44+P45</f>
        <v>0</v>
      </c>
      <c r="Q43" s="18"/>
    </row>
    <row r="44" spans="1:17" ht="12.75" customHeight="1">
      <c r="A44" s="23" t="s">
        <v>20</v>
      </c>
      <c r="B44" s="29"/>
      <c r="C44" s="29"/>
      <c r="D44" s="29"/>
      <c r="E44" s="30"/>
      <c r="F44" s="24">
        <f>SUM(B44:E44)</f>
        <v>0</v>
      </c>
      <c r="G44" s="29"/>
      <c r="H44" s="29"/>
      <c r="I44" s="29"/>
      <c r="J44" s="29"/>
      <c r="K44" s="24">
        <f>SUM(G44:J44)</f>
        <v>0</v>
      </c>
      <c r="L44" s="25">
        <f>+B44-G44</f>
        <v>0</v>
      </c>
      <c r="M44" s="25">
        <f>+C44-H44</f>
        <v>0</v>
      </c>
      <c r="N44" s="25"/>
      <c r="O44" s="25">
        <f>+E44-J44</f>
        <v>0</v>
      </c>
      <c r="P44" s="26">
        <f>SUM(L44:O44)</f>
        <v>0</v>
      </c>
      <c r="Q44" s="18"/>
    </row>
    <row r="45" spans="1:17" ht="12.75" customHeight="1">
      <c r="A45" s="23" t="s">
        <v>21</v>
      </c>
      <c r="B45" s="29"/>
      <c r="C45" s="29"/>
      <c r="D45" s="29"/>
      <c r="E45" s="30"/>
      <c r="F45" s="24">
        <f>SUM(B45:E45)</f>
        <v>0</v>
      </c>
      <c r="G45" s="29"/>
      <c r="H45" s="29"/>
      <c r="I45" s="29"/>
      <c r="J45" s="29"/>
      <c r="K45" s="24">
        <f>SUM(G45:J45)</f>
        <v>0</v>
      </c>
      <c r="L45" s="25">
        <f>+B45-G45</f>
        <v>0</v>
      </c>
      <c r="M45" s="25">
        <f>+C45-H45</f>
        <v>0</v>
      </c>
      <c r="N45" s="25"/>
      <c r="O45" s="25">
        <f>+E45-J45</f>
        <v>0</v>
      </c>
      <c r="P45" s="26">
        <f>SUM(L45:O45)</f>
        <v>0</v>
      </c>
      <c r="Q45" s="18"/>
    </row>
    <row r="46" spans="1:17" ht="12.75" customHeight="1">
      <c r="A46" s="3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6"/>
      <c r="Q46" s="18"/>
    </row>
    <row r="47" spans="1:17" ht="12.75" customHeight="1">
      <c r="A47" s="33" t="s">
        <v>85</v>
      </c>
      <c r="B47" s="17">
        <f t="shared" ref="B47:K47" si="24">+B48+B52</f>
        <v>777401</v>
      </c>
      <c r="C47" s="17">
        <f t="shared" si="24"/>
        <v>551828</v>
      </c>
      <c r="D47" s="17">
        <f t="shared" si="24"/>
        <v>0</v>
      </c>
      <c r="E47" s="17">
        <f t="shared" si="24"/>
        <v>13450</v>
      </c>
      <c r="F47" s="17">
        <f t="shared" si="24"/>
        <v>1342679</v>
      </c>
      <c r="G47" s="17">
        <f t="shared" si="24"/>
        <v>706947</v>
      </c>
      <c r="H47" s="17">
        <f t="shared" si="24"/>
        <v>460403</v>
      </c>
      <c r="I47" s="17">
        <f t="shared" si="24"/>
        <v>0</v>
      </c>
      <c r="J47" s="17">
        <f t="shared" si="24"/>
        <v>12710</v>
      </c>
      <c r="K47" s="17">
        <f t="shared" si="24"/>
        <v>1180060</v>
      </c>
      <c r="L47" s="17">
        <f>+L48+L52</f>
        <v>70454</v>
      </c>
      <c r="M47" s="17">
        <f>+M48+M52</f>
        <v>91425</v>
      </c>
      <c r="N47" s="17"/>
      <c r="O47" s="17">
        <f>+O48+O52</f>
        <v>740</v>
      </c>
      <c r="P47" s="17">
        <f>+P48+P52</f>
        <v>162619</v>
      </c>
      <c r="Q47" s="18">
        <f>+K47/F47</f>
        <v>0.87888467757371647</v>
      </c>
    </row>
    <row r="48" spans="1:17" ht="12.75" customHeight="1">
      <c r="A48" s="41" t="s">
        <v>15</v>
      </c>
      <c r="B48" s="20">
        <f t="shared" ref="B48:K48" si="25">+B49+B50+B51</f>
        <v>777401</v>
      </c>
      <c r="C48" s="20">
        <f t="shared" si="25"/>
        <v>535074</v>
      </c>
      <c r="D48" s="20">
        <f t="shared" si="25"/>
        <v>0</v>
      </c>
      <c r="E48" s="20">
        <f t="shared" si="25"/>
        <v>0</v>
      </c>
      <c r="F48" s="20">
        <f t="shared" si="25"/>
        <v>1312475</v>
      </c>
      <c r="G48" s="20">
        <f t="shared" si="25"/>
        <v>706947</v>
      </c>
      <c r="H48" s="20">
        <f t="shared" si="25"/>
        <v>460257</v>
      </c>
      <c r="I48" s="20">
        <f t="shared" si="25"/>
        <v>0</v>
      </c>
      <c r="J48" s="20">
        <f t="shared" si="25"/>
        <v>0</v>
      </c>
      <c r="K48" s="20">
        <f t="shared" si="25"/>
        <v>1167204</v>
      </c>
      <c r="L48" s="20">
        <f>+L49+L50+L51</f>
        <v>70454</v>
      </c>
      <c r="M48" s="20">
        <f>+M49+M50+M51</f>
        <v>74817</v>
      </c>
      <c r="N48" s="20"/>
      <c r="O48" s="20">
        <f>+O49+O50+O51</f>
        <v>0</v>
      </c>
      <c r="P48" s="21">
        <f>+P49+P50+P51</f>
        <v>145271</v>
      </c>
      <c r="Q48" s="18"/>
    </row>
    <row r="49" spans="1:17" ht="12.75" customHeight="1">
      <c r="A49" s="22" t="s">
        <v>16</v>
      </c>
      <c r="B49" s="29">
        <v>662164</v>
      </c>
      <c r="C49" s="29">
        <v>226288</v>
      </c>
      <c r="D49" s="29"/>
      <c r="E49" s="30"/>
      <c r="F49" s="24">
        <f>SUM(B49:E49)</f>
        <v>888452</v>
      </c>
      <c r="G49" s="29">
        <f>593278-46211+8701+65484</f>
        <v>621252</v>
      </c>
      <c r="H49" s="29">
        <f>6856+97740+55021</f>
        <v>159617</v>
      </c>
      <c r="I49" s="29"/>
      <c r="J49" s="29"/>
      <c r="K49" s="24">
        <f>SUM(G49:J49)</f>
        <v>780869</v>
      </c>
      <c r="L49" s="25">
        <f t="shared" ref="L49:M51" si="26">+B49-G49</f>
        <v>40912</v>
      </c>
      <c r="M49" s="25">
        <f t="shared" si="26"/>
        <v>66671</v>
      </c>
      <c r="N49" s="25"/>
      <c r="O49" s="25">
        <f>+E49-J49</f>
        <v>0</v>
      </c>
      <c r="P49" s="26">
        <f>SUM(L49:O49)</f>
        <v>107583</v>
      </c>
      <c r="Q49" s="18"/>
    </row>
    <row r="50" spans="1:17" ht="12.75" customHeight="1">
      <c r="A50" s="22" t="s">
        <v>17</v>
      </c>
      <c r="B50" s="29">
        <v>62559</v>
      </c>
      <c r="C50" s="34"/>
      <c r="D50" s="34"/>
      <c r="E50" s="30"/>
      <c r="F50" s="24">
        <f>SUM(B50:E50)</f>
        <v>62559</v>
      </c>
      <c r="G50" s="29">
        <v>39484</v>
      </c>
      <c r="H50" s="34"/>
      <c r="I50" s="34"/>
      <c r="J50" s="34"/>
      <c r="K50" s="24">
        <f>SUM(G50:J50)</f>
        <v>39484</v>
      </c>
      <c r="L50" s="25">
        <f t="shared" si="26"/>
        <v>23075</v>
      </c>
      <c r="M50" s="25">
        <f t="shared" si="26"/>
        <v>0</v>
      </c>
      <c r="N50" s="25"/>
      <c r="O50" s="25">
        <f>+E50-J50</f>
        <v>0</v>
      </c>
      <c r="P50" s="26">
        <f>SUM(L50:O50)</f>
        <v>23075</v>
      </c>
      <c r="Q50" s="18"/>
    </row>
    <row r="51" spans="1:17" ht="12.75" customHeight="1">
      <c r="A51" s="22" t="s">
        <v>18</v>
      </c>
      <c r="B51" s="29">
        <v>52678</v>
      </c>
      <c r="C51" s="29">
        <v>308786</v>
      </c>
      <c r="D51" s="29"/>
      <c r="E51" s="30"/>
      <c r="F51" s="24">
        <f>SUM(B51:E51)</f>
        <v>361464</v>
      </c>
      <c r="G51" s="29">
        <v>46211</v>
      </c>
      <c r="H51" s="29">
        <v>300640</v>
      </c>
      <c r="I51" s="29"/>
      <c r="J51" s="34"/>
      <c r="K51" s="24">
        <f>SUM(G51:J51)</f>
        <v>346851</v>
      </c>
      <c r="L51" s="25">
        <f t="shared" si="26"/>
        <v>6467</v>
      </c>
      <c r="M51" s="25">
        <f t="shared" si="26"/>
        <v>8146</v>
      </c>
      <c r="N51" s="25"/>
      <c r="O51" s="25">
        <f>+E51-J51</f>
        <v>0</v>
      </c>
      <c r="P51" s="26">
        <f>SUM(L51:O51)</f>
        <v>14613</v>
      </c>
      <c r="Q51" s="18"/>
    </row>
    <row r="52" spans="1:17" ht="12.75" customHeight="1">
      <c r="A52" s="22" t="s">
        <v>19</v>
      </c>
      <c r="B52" s="27">
        <f t="shared" ref="B52:K52" si="27">+B53+B54</f>
        <v>0</v>
      </c>
      <c r="C52" s="27">
        <f t="shared" si="27"/>
        <v>16754</v>
      </c>
      <c r="D52" s="27">
        <f t="shared" si="27"/>
        <v>0</v>
      </c>
      <c r="E52" s="27">
        <f t="shared" si="27"/>
        <v>13450</v>
      </c>
      <c r="F52" s="27">
        <f t="shared" si="27"/>
        <v>30204</v>
      </c>
      <c r="G52" s="27">
        <f t="shared" si="27"/>
        <v>0</v>
      </c>
      <c r="H52" s="27">
        <f t="shared" si="27"/>
        <v>146</v>
      </c>
      <c r="I52" s="27">
        <f t="shared" si="27"/>
        <v>0</v>
      </c>
      <c r="J52" s="27">
        <f t="shared" si="27"/>
        <v>12710</v>
      </c>
      <c r="K52" s="27">
        <f t="shared" si="27"/>
        <v>12856</v>
      </c>
      <c r="L52" s="27">
        <f>+L53+L54</f>
        <v>0</v>
      </c>
      <c r="M52" s="27">
        <f>+M53+M54</f>
        <v>16608</v>
      </c>
      <c r="N52" s="27"/>
      <c r="O52" s="27">
        <f>+O53+O54</f>
        <v>740</v>
      </c>
      <c r="P52" s="28">
        <f>+P53+P54</f>
        <v>17348</v>
      </c>
      <c r="Q52" s="18"/>
    </row>
    <row r="53" spans="1:17" ht="12.75" customHeight="1">
      <c r="A53" s="23" t="s">
        <v>20</v>
      </c>
      <c r="B53" s="29"/>
      <c r="C53" s="29">
        <v>16754</v>
      </c>
      <c r="D53" s="29"/>
      <c r="E53" s="30">
        <v>13450</v>
      </c>
      <c r="F53" s="24">
        <f>SUM(B53:E53)</f>
        <v>30204</v>
      </c>
      <c r="G53" s="29"/>
      <c r="H53" s="29">
        <v>146</v>
      </c>
      <c r="I53" s="29"/>
      <c r="J53" s="29">
        <v>12710</v>
      </c>
      <c r="K53" s="24">
        <f>SUM(G53:J53)</f>
        <v>12856</v>
      </c>
      <c r="L53" s="25">
        <f>+B53-G53</f>
        <v>0</v>
      </c>
      <c r="M53" s="25">
        <f>+C53-H53</f>
        <v>16608</v>
      </c>
      <c r="N53" s="25"/>
      <c r="O53" s="25">
        <f>+E53-J53</f>
        <v>740</v>
      </c>
      <c r="P53" s="26">
        <f>SUM(L53:O53)</f>
        <v>17348</v>
      </c>
      <c r="Q53" s="18"/>
    </row>
    <row r="54" spans="1:17" ht="12.75" customHeight="1">
      <c r="A54" s="23" t="s">
        <v>21</v>
      </c>
      <c r="B54" s="29"/>
      <c r="C54" s="29"/>
      <c r="D54" s="29"/>
      <c r="E54" s="30"/>
      <c r="F54" s="24">
        <f>SUM(B54:E54)</f>
        <v>0</v>
      </c>
      <c r="G54" s="29"/>
      <c r="H54" s="29"/>
      <c r="I54" s="29"/>
      <c r="J54" s="29"/>
      <c r="K54" s="24">
        <f>SUM(G54:J54)</f>
        <v>0</v>
      </c>
      <c r="L54" s="25">
        <f>+B54-G54</f>
        <v>0</v>
      </c>
      <c r="M54" s="25">
        <f>+C54-H54</f>
        <v>0</v>
      </c>
      <c r="N54" s="25"/>
      <c r="O54" s="25">
        <f>+E54-J54</f>
        <v>0</v>
      </c>
      <c r="P54" s="26">
        <f>SUM(L54:O54)</f>
        <v>0</v>
      </c>
      <c r="Q54" s="18"/>
    </row>
    <row r="55" spans="1:17" ht="12.75" customHeight="1">
      <c r="A55" s="217"/>
      <c r="B55" s="77"/>
      <c r="C55" s="77"/>
      <c r="D55" s="77"/>
      <c r="E55" s="77"/>
      <c r="F55" s="77"/>
      <c r="G55" s="82"/>
      <c r="H55" s="82"/>
      <c r="I55" s="82"/>
      <c r="J55" s="82"/>
      <c r="K55" s="82"/>
      <c r="L55" s="77"/>
      <c r="M55" s="77"/>
      <c r="N55" s="77"/>
      <c r="O55" s="77"/>
      <c r="P55" s="75"/>
      <c r="Q55" s="76"/>
    </row>
    <row r="56" spans="1:17" ht="12.75" customHeight="1">
      <c r="A56" s="33" t="s">
        <v>86</v>
      </c>
      <c r="B56" s="17">
        <f t="shared" ref="B56:K56" si="28">+B57+B62+B61</f>
        <v>742992</v>
      </c>
      <c r="C56" s="17">
        <f t="shared" si="28"/>
        <v>349050</v>
      </c>
      <c r="D56" s="17">
        <f t="shared" si="28"/>
        <v>0</v>
      </c>
      <c r="E56" s="17">
        <f t="shared" si="28"/>
        <v>38416</v>
      </c>
      <c r="F56" s="17">
        <f t="shared" si="28"/>
        <v>1130458</v>
      </c>
      <c r="G56" s="17">
        <f t="shared" si="28"/>
        <v>740360</v>
      </c>
      <c r="H56" s="17">
        <f t="shared" si="28"/>
        <v>298356</v>
      </c>
      <c r="I56" s="17">
        <f t="shared" si="28"/>
        <v>0</v>
      </c>
      <c r="J56" s="17">
        <f t="shared" si="28"/>
        <v>17059</v>
      </c>
      <c r="K56" s="17">
        <f t="shared" si="28"/>
        <v>1055775</v>
      </c>
      <c r="L56" s="17">
        <f t="shared" ref="L56:P56" si="29">+L57+L62+L61</f>
        <v>2632</v>
      </c>
      <c r="M56" s="17">
        <f t="shared" si="29"/>
        <v>50694</v>
      </c>
      <c r="N56" s="17"/>
      <c r="O56" s="17">
        <f t="shared" si="29"/>
        <v>21357</v>
      </c>
      <c r="P56" s="17">
        <f t="shared" si="29"/>
        <v>74683</v>
      </c>
      <c r="Q56" s="18">
        <f>+K56/F56</f>
        <v>0.93393562609137182</v>
      </c>
    </row>
    <row r="57" spans="1:17" ht="12.75" customHeight="1">
      <c r="A57" s="41" t="s">
        <v>15</v>
      </c>
      <c r="B57" s="20">
        <f t="shared" ref="B57:K57" si="30">+B58+B59+B60</f>
        <v>742992</v>
      </c>
      <c r="C57" s="20">
        <f t="shared" si="30"/>
        <v>296923</v>
      </c>
      <c r="D57" s="20">
        <f t="shared" si="30"/>
        <v>0</v>
      </c>
      <c r="E57" s="20">
        <f t="shared" si="30"/>
        <v>37543</v>
      </c>
      <c r="F57" s="20">
        <f t="shared" si="30"/>
        <v>1077458</v>
      </c>
      <c r="G57" s="20">
        <f t="shared" si="30"/>
        <v>740360</v>
      </c>
      <c r="H57" s="20">
        <f t="shared" si="30"/>
        <v>255605</v>
      </c>
      <c r="I57" s="20">
        <f t="shared" si="30"/>
        <v>0</v>
      </c>
      <c r="J57" s="20">
        <f t="shared" si="30"/>
        <v>16186</v>
      </c>
      <c r="K57" s="20">
        <f t="shared" si="30"/>
        <v>1012151</v>
      </c>
      <c r="L57" s="20">
        <f>+L58+L59+L60</f>
        <v>2632</v>
      </c>
      <c r="M57" s="20">
        <f>+M58+M59+M60</f>
        <v>41318</v>
      </c>
      <c r="N57" s="20"/>
      <c r="O57" s="20">
        <f>+O58+O59+O60</f>
        <v>21357</v>
      </c>
      <c r="P57" s="21">
        <f>+P58+P59+P60</f>
        <v>65307</v>
      </c>
      <c r="Q57" s="18"/>
    </row>
    <row r="58" spans="1:17" ht="12.75" customHeight="1">
      <c r="A58" s="22" t="s">
        <v>16</v>
      </c>
      <c r="B58" s="29">
        <v>650791</v>
      </c>
      <c r="C58" s="29">
        <v>296923</v>
      </c>
      <c r="D58" s="29"/>
      <c r="E58" s="30">
        <v>30563</v>
      </c>
      <c r="F58" s="24">
        <f>SUM(B58:E58)</f>
        <v>978277</v>
      </c>
      <c r="G58" s="29">
        <f>705541-54752</f>
        <v>650789</v>
      </c>
      <c r="H58" s="29">
        <f>252932+2673</f>
        <v>255605</v>
      </c>
      <c r="I58" s="29"/>
      <c r="J58" s="29">
        <v>9206</v>
      </c>
      <c r="K58" s="24">
        <f>SUM(G58:J58)</f>
        <v>915600</v>
      </c>
      <c r="L58" s="25">
        <f t="shared" ref="L58:M61" si="31">+B58-G58</f>
        <v>2</v>
      </c>
      <c r="M58" s="25">
        <f t="shared" si="31"/>
        <v>41318</v>
      </c>
      <c r="N58" s="25"/>
      <c r="O58" s="25">
        <f>+E58-J58</f>
        <v>21357</v>
      </c>
      <c r="P58" s="26">
        <f>SUM(L58:O58)</f>
        <v>62677</v>
      </c>
      <c r="Q58" s="18"/>
    </row>
    <row r="59" spans="1:17" ht="12.75" customHeight="1">
      <c r="A59" s="22" t="s">
        <v>17</v>
      </c>
      <c r="B59" s="29">
        <v>34838</v>
      </c>
      <c r="C59" s="34"/>
      <c r="D59" s="34"/>
      <c r="E59" s="30"/>
      <c r="F59" s="24">
        <f>SUM(B59:E59)</f>
        <v>34838</v>
      </c>
      <c r="G59" s="29">
        <v>34819</v>
      </c>
      <c r="H59" s="34"/>
      <c r="I59" s="34"/>
      <c r="J59" s="34"/>
      <c r="K59" s="24">
        <f>SUM(G59:J59)</f>
        <v>34819</v>
      </c>
      <c r="L59" s="25">
        <f t="shared" si="31"/>
        <v>19</v>
      </c>
      <c r="M59" s="25">
        <f t="shared" si="31"/>
        <v>0</v>
      </c>
      <c r="N59" s="25"/>
      <c r="O59" s="25">
        <f>+E59-J59</f>
        <v>0</v>
      </c>
      <c r="P59" s="26">
        <f>SUM(L59:O59)</f>
        <v>19</v>
      </c>
      <c r="Q59" s="18"/>
    </row>
    <row r="60" spans="1:17" ht="12.75" customHeight="1">
      <c r="A60" s="22" t="s">
        <v>18</v>
      </c>
      <c r="B60" s="29">
        <v>57363</v>
      </c>
      <c r="C60" s="34"/>
      <c r="D60" s="34"/>
      <c r="E60" s="30">
        <v>6980</v>
      </c>
      <c r="F60" s="24">
        <f>SUM(B60:E60)</f>
        <v>64343</v>
      </c>
      <c r="G60" s="29">
        <v>54752</v>
      </c>
      <c r="H60" s="34"/>
      <c r="I60" s="34"/>
      <c r="J60" s="29">
        <v>6980</v>
      </c>
      <c r="K60" s="24">
        <f>SUM(G60:J60)</f>
        <v>61732</v>
      </c>
      <c r="L60" s="25">
        <f t="shared" si="31"/>
        <v>2611</v>
      </c>
      <c r="M60" s="25">
        <f t="shared" si="31"/>
        <v>0</v>
      </c>
      <c r="N60" s="25"/>
      <c r="O60" s="25">
        <f>+E60-J60</f>
        <v>0</v>
      </c>
      <c r="P60" s="26">
        <f>SUM(L60:O60)</f>
        <v>2611</v>
      </c>
      <c r="Q60" s="18"/>
    </row>
    <row r="61" spans="1:17" ht="12.75" customHeight="1">
      <c r="A61" s="22" t="s">
        <v>30</v>
      </c>
      <c r="B61" s="29"/>
      <c r="C61" s="29">
        <v>49127</v>
      </c>
      <c r="D61" s="29"/>
      <c r="E61" s="30">
        <v>873</v>
      </c>
      <c r="F61" s="24">
        <f>SUM(B61:E61)</f>
        <v>50000</v>
      </c>
      <c r="G61" s="29"/>
      <c r="H61" s="29">
        <v>39751</v>
      </c>
      <c r="I61" s="29"/>
      <c r="J61" s="29">
        <v>873</v>
      </c>
      <c r="K61" s="24">
        <f>SUM(G61:J61)</f>
        <v>40624</v>
      </c>
      <c r="L61" s="25">
        <f t="shared" si="31"/>
        <v>0</v>
      </c>
      <c r="M61" s="25">
        <f t="shared" si="31"/>
        <v>9376</v>
      </c>
      <c r="N61" s="25"/>
      <c r="O61" s="25">
        <f>+E61-J61</f>
        <v>0</v>
      </c>
      <c r="P61" s="26">
        <f>SUM(L61:O61)</f>
        <v>9376</v>
      </c>
      <c r="Q61" s="18"/>
    </row>
    <row r="62" spans="1:17" ht="12.75" customHeight="1">
      <c r="A62" s="22" t="s">
        <v>19</v>
      </c>
      <c r="B62" s="27">
        <f t="shared" ref="B62:K62" si="32">+B63+B64</f>
        <v>0</v>
      </c>
      <c r="C62" s="27">
        <f t="shared" si="32"/>
        <v>3000</v>
      </c>
      <c r="D62" s="27">
        <f t="shared" si="32"/>
        <v>0</v>
      </c>
      <c r="E62" s="27">
        <f t="shared" si="32"/>
        <v>0</v>
      </c>
      <c r="F62" s="27">
        <f t="shared" si="32"/>
        <v>3000</v>
      </c>
      <c r="G62" s="27">
        <f t="shared" si="32"/>
        <v>0</v>
      </c>
      <c r="H62" s="27">
        <f t="shared" si="32"/>
        <v>3000</v>
      </c>
      <c r="I62" s="27">
        <f t="shared" si="32"/>
        <v>0</v>
      </c>
      <c r="J62" s="27">
        <f t="shared" si="32"/>
        <v>0</v>
      </c>
      <c r="K62" s="27">
        <f t="shared" si="32"/>
        <v>3000</v>
      </c>
      <c r="L62" s="27">
        <f>+L63+L64</f>
        <v>0</v>
      </c>
      <c r="M62" s="27">
        <f>+M63+M64</f>
        <v>0</v>
      </c>
      <c r="N62" s="27"/>
      <c r="O62" s="27">
        <f>+O63+O64</f>
        <v>0</v>
      </c>
      <c r="P62" s="28">
        <f>+P63+P64</f>
        <v>0</v>
      </c>
      <c r="Q62" s="18"/>
    </row>
    <row r="63" spans="1:17" ht="12.75" customHeight="1">
      <c r="A63" s="23" t="s">
        <v>20</v>
      </c>
      <c r="B63" s="29"/>
      <c r="C63" s="29">
        <f>454+1546+1000</f>
        <v>3000</v>
      </c>
      <c r="D63" s="29"/>
      <c r="E63" s="30"/>
      <c r="F63" s="24">
        <f>SUM(B63:E63)</f>
        <v>3000</v>
      </c>
      <c r="G63" s="29"/>
      <c r="H63" s="29">
        <v>3000</v>
      </c>
      <c r="I63" s="29"/>
      <c r="J63" s="29"/>
      <c r="K63" s="24">
        <f>SUM(G63:J63)</f>
        <v>3000</v>
      </c>
      <c r="L63" s="25">
        <f>+B63-G63</f>
        <v>0</v>
      </c>
      <c r="M63" s="25">
        <f>+C63-H63</f>
        <v>0</v>
      </c>
      <c r="N63" s="25"/>
      <c r="O63" s="25">
        <f>+E63-J63</f>
        <v>0</v>
      </c>
      <c r="P63" s="26">
        <f>SUM(L63:O63)</f>
        <v>0</v>
      </c>
      <c r="Q63" s="18"/>
    </row>
    <row r="64" spans="1:17" ht="12.75" customHeight="1">
      <c r="A64" s="23" t="s">
        <v>21</v>
      </c>
      <c r="B64" s="29"/>
      <c r="C64" s="29"/>
      <c r="D64" s="29"/>
      <c r="E64" s="30"/>
      <c r="F64" s="24">
        <f>SUM(B64:E64)</f>
        <v>0</v>
      </c>
      <c r="G64" s="29"/>
      <c r="H64" s="29"/>
      <c r="I64" s="29"/>
      <c r="J64" s="29"/>
      <c r="K64" s="24">
        <f>SUM(G64:J64)</f>
        <v>0</v>
      </c>
      <c r="L64" s="25">
        <f>+B64-G64</f>
        <v>0</v>
      </c>
      <c r="M64" s="25">
        <f>+C64-H64</f>
        <v>0</v>
      </c>
      <c r="N64" s="25"/>
      <c r="O64" s="25">
        <f>+E64-J64</f>
        <v>0</v>
      </c>
      <c r="P64" s="26">
        <f>SUM(L64:O64)</f>
        <v>0</v>
      </c>
      <c r="Q64" s="18"/>
    </row>
    <row r="65" spans="1:17" ht="12.75" customHeight="1">
      <c r="A65" s="33"/>
      <c r="B65" s="24"/>
      <c r="C65" s="24"/>
      <c r="D65" s="24"/>
      <c r="E65" s="24"/>
      <c r="F65" s="24"/>
      <c r="G65" s="32"/>
      <c r="H65" s="32"/>
      <c r="I65" s="32"/>
      <c r="J65" s="32"/>
      <c r="K65" s="32"/>
      <c r="L65" s="24"/>
      <c r="M65" s="24"/>
      <c r="N65" s="24"/>
      <c r="O65" s="24"/>
      <c r="P65" s="26"/>
      <c r="Q65" s="18"/>
    </row>
    <row r="66" spans="1:17" ht="12.75" customHeight="1">
      <c r="A66" s="215" t="s">
        <v>87</v>
      </c>
      <c r="B66" s="17">
        <f t="shared" ref="B66:K66" si="33">+B67+B71</f>
        <v>114613</v>
      </c>
      <c r="C66" s="17">
        <f t="shared" si="33"/>
        <v>11325</v>
      </c>
      <c r="D66" s="17">
        <f t="shared" si="33"/>
        <v>0</v>
      </c>
      <c r="E66" s="17">
        <f t="shared" si="33"/>
        <v>2000</v>
      </c>
      <c r="F66" s="17">
        <f t="shared" si="33"/>
        <v>127938</v>
      </c>
      <c r="G66" s="17">
        <f t="shared" si="33"/>
        <v>114555</v>
      </c>
      <c r="H66" s="17">
        <f t="shared" si="33"/>
        <v>10706</v>
      </c>
      <c r="I66" s="17">
        <f t="shared" si="33"/>
        <v>0</v>
      </c>
      <c r="J66" s="17">
        <f t="shared" si="33"/>
        <v>1777</v>
      </c>
      <c r="K66" s="17">
        <f t="shared" si="33"/>
        <v>127038</v>
      </c>
      <c r="L66" s="17">
        <f>+L67+L71</f>
        <v>58</v>
      </c>
      <c r="M66" s="17">
        <f>+M67+M71</f>
        <v>619</v>
      </c>
      <c r="N66" s="17"/>
      <c r="O66" s="17">
        <f>+O67+O71</f>
        <v>223</v>
      </c>
      <c r="P66" s="17">
        <f>+P67+P71</f>
        <v>900</v>
      </c>
      <c r="Q66" s="18">
        <f>+K66/F66</f>
        <v>0.99296534258781599</v>
      </c>
    </row>
    <row r="67" spans="1:17" ht="12.75" customHeight="1">
      <c r="A67" s="41" t="s">
        <v>15</v>
      </c>
      <c r="B67" s="20">
        <f t="shared" ref="B67:K67" si="34">+B68+B69+B70</f>
        <v>114613</v>
      </c>
      <c r="C67" s="20">
        <f t="shared" si="34"/>
        <v>10932</v>
      </c>
      <c r="D67" s="20">
        <f t="shared" si="34"/>
        <v>0</v>
      </c>
      <c r="E67" s="20">
        <f t="shared" si="34"/>
        <v>2000</v>
      </c>
      <c r="F67" s="20">
        <f t="shared" si="34"/>
        <v>127545</v>
      </c>
      <c r="G67" s="20">
        <f t="shared" si="34"/>
        <v>114555</v>
      </c>
      <c r="H67" s="20">
        <f t="shared" si="34"/>
        <v>10706</v>
      </c>
      <c r="I67" s="20">
        <f t="shared" si="34"/>
        <v>0</v>
      </c>
      <c r="J67" s="20">
        <f t="shared" si="34"/>
        <v>1777</v>
      </c>
      <c r="K67" s="20">
        <f t="shared" si="34"/>
        <v>127038</v>
      </c>
      <c r="L67" s="20">
        <f>+L68+L69+L70</f>
        <v>58</v>
      </c>
      <c r="M67" s="20">
        <f>+M68+M69+M70</f>
        <v>226</v>
      </c>
      <c r="N67" s="20"/>
      <c r="O67" s="20">
        <f>+O68+O69+O70</f>
        <v>223</v>
      </c>
      <c r="P67" s="21">
        <f>+P68+P69+P70</f>
        <v>507</v>
      </c>
      <c r="Q67" s="18"/>
    </row>
    <row r="68" spans="1:17" ht="12.75" customHeight="1">
      <c r="A68" s="22" t="s">
        <v>16</v>
      </c>
      <c r="B68" s="29">
        <v>76627</v>
      </c>
      <c r="C68" s="29">
        <v>10932</v>
      </c>
      <c r="D68" s="29"/>
      <c r="E68" s="30">
        <v>2000</v>
      </c>
      <c r="F68" s="24">
        <f>SUM(B68:E68)</f>
        <v>89559</v>
      </c>
      <c r="G68" s="29">
        <f>85532-8905</f>
        <v>76627</v>
      </c>
      <c r="H68" s="29">
        <v>10706</v>
      </c>
      <c r="I68" s="29"/>
      <c r="J68" s="29">
        <v>1777</v>
      </c>
      <c r="K68" s="24">
        <f>SUM(G68:J68)</f>
        <v>89110</v>
      </c>
      <c r="L68" s="25">
        <f t="shared" ref="L68:M70" si="35">+B68-G68</f>
        <v>0</v>
      </c>
      <c r="M68" s="25">
        <f t="shared" si="35"/>
        <v>226</v>
      </c>
      <c r="N68" s="25"/>
      <c r="O68" s="25">
        <f>+E68-J68</f>
        <v>223</v>
      </c>
      <c r="P68" s="26">
        <f>SUM(L68:O68)</f>
        <v>449</v>
      </c>
      <c r="Q68" s="18"/>
    </row>
    <row r="69" spans="1:17" ht="12.75" customHeight="1">
      <c r="A69" s="22" t="s">
        <v>17</v>
      </c>
      <c r="B69" s="29">
        <v>33306</v>
      </c>
      <c r="C69" s="34"/>
      <c r="D69" s="34"/>
      <c r="E69" s="30"/>
      <c r="F69" s="24">
        <f>SUM(B69:E69)</f>
        <v>33306</v>
      </c>
      <c r="G69" s="29">
        <f>1852+22540+8905</f>
        <v>33297</v>
      </c>
      <c r="H69" s="34"/>
      <c r="I69" s="34"/>
      <c r="J69" s="34"/>
      <c r="K69" s="24">
        <f>SUM(G69:J69)</f>
        <v>33297</v>
      </c>
      <c r="L69" s="25">
        <f t="shared" si="35"/>
        <v>9</v>
      </c>
      <c r="M69" s="25">
        <f t="shared" si="35"/>
        <v>0</v>
      </c>
      <c r="N69" s="25"/>
      <c r="O69" s="25">
        <f>+E69-J69</f>
        <v>0</v>
      </c>
      <c r="P69" s="26">
        <f>SUM(L69:O69)</f>
        <v>9</v>
      </c>
      <c r="Q69" s="18"/>
    </row>
    <row r="70" spans="1:17" ht="12.75" customHeight="1">
      <c r="A70" s="22" t="s">
        <v>18</v>
      </c>
      <c r="B70" s="29">
        <v>4680</v>
      </c>
      <c r="C70" s="34"/>
      <c r="D70" s="34"/>
      <c r="E70" s="35"/>
      <c r="F70" s="24">
        <f>SUM(B70:E70)</f>
        <v>4680</v>
      </c>
      <c r="G70" s="29">
        <v>4631</v>
      </c>
      <c r="H70" s="34"/>
      <c r="I70" s="34"/>
      <c r="J70" s="34"/>
      <c r="K70" s="24">
        <f>SUM(G70:J70)</f>
        <v>4631</v>
      </c>
      <c r="L70" s="25">
        <f t="shared" si="35"/>
        <v>49</v>
      </c>
      <c r="M70" s="25">
        <f t="shared" si="35"/>
        <v>0</v>
      </c>
      <c r="N70" s="25"/>
      <c r="O70" s="25">
        <f>+E70-J70</f>
        <v>0</v>
      </c>
      <c r="P70" s="26">
        <f>SUM(L70:O70)</f>
        <v>49</v>
      </c>
      <c r="Q70" s="18"/>
    </row>
    <row r="71" spans="1:17" ht="12.75" customHeight="1">
      <c r="A71" s="22" t="s">
        <v>19</v>
      </c>
      <c r="B71" s="27">
        <f t="shared" ref="B71:K71" si="36">+B72+B73</f>
        <v>0</v>
      </c>
      <c r="C71" s="27">
        <f t="shared" si="36"/>
        <v>393</v>
      </c>
      <c r="D71" s="27">
        <f t="shared" si="36"/>
        <v>0</v>
      </c>
      <c r="E71" s="27">
        <f t="shared" si="36"/>
        <v>0</v>
      </c>
      <c r="F71" s="27">
        <f t="shared" si="36"/>
        <v>393</v>
      </c>
      <c r="G71" s="27">
        <f t="shared" si="36"/>
        <v>0</v>
      </c>
      <c r="H71" s="27">
        <f t="shared" si="36"/>
        <v>0</v>
      </c>
      <c r="I71" s="27">
        <f t="shared" si="36"/>
        <v>0</v>
      </c>
      <c r="J71" s="27">
        <f t="shared" si="36"/>
        <v>0</v>
      </c>
      <c r="K71" s="27">
        <f t="shared" si="36"/>
        <v>0</v>
      </c>
      <c r="L71" s="27">
        <f>+L72+L73</f>
        <v>0</v>
      </c>
      <c r="M71" s="27">
        <f>+M72+M73</f>
        <v>393</v>
      </c>
      <c r="N71" s="27"/>
      <c r="O71" s="27">
        <f>+O72+O73</f>
        <v>0</v>
      </c>
      <c r="P71" s="28">
        <f>+P72+P73</f>
        <v>393</v>
      </c>
      <c r="Q71" s="18"/>
    </row>
    <row r="72" spans="1:17" ht="12.75" customHeight="1">
      <c r="A72" s="23" t="s">
        <v>20</v>
      </c>
      <c r="B72" s="29"/>
      <c r="C72" s="29">
        <v>393</v>
      </c>
      <c r="D72" s="29"/>
      <c r="E72" s="30"/>
      <c r="F72" s="24">
        <f>SUM(B72:E72)</f>
        <v>393</v>
      </c>
      <c r="G72" s="29"/>
      <c r="H72" s="29"/>
      <c r="I72" s="29"/>
      <c r="J72" s="29"/>
      <c r="K72" s="24">
        <f>SUM(G72:J72)</f>
        <v>0</v>
      </c>
      <c r="L72" s="25">
        <f>+B72-G72</f>
        <v>0</v>
      </c>
      <c r="M72" s="25">
        <f>+C72-H72</f>
        <v>393</v>
      </c>
      <c r="N72" s="25"/>
      <c r="O72" s="25">
        <f>+E72-J72</f>
        <v>0</v>
      </c>
      <c r="P72" s="26">
        <f>SUM(L72:O72)</f>
        <v>393</v>
      </c>
      <c r="Q72" s="18"/>
    </row>
    <row r="73" spans="1:17" ht="12.75" customHeight="1">
      <c r="A73" s="23" t="s">
        <v>21</v>
      </c>
      <c r="B73" s="29"/>
      <c r="C73" s="29"/>
      <c r="D73" s="29"/>
      <c r="E73" s="30"/>
      <c r="F73" s="24">
        <f>SUM(B73:E73)</f>
        <v>0</v>
      </c>
      <c r="G73" s="29"/>
      <c r="H73" s="29"/>
      <c r="I73" s="29"/>
      <c r="J73" s="29"/>
      <c r="K73" s="24">
        <f>SUM(G73:J73)</f>
        <v>0</v>
      </c>
      <c r="L73" s="25">
        <f>+B73-G73</f>
        <v>0</v>
      </c>
      <c r="M73" s="25">
        <f>+C73-H73</f>
        <v>0</v>
      </c>
      <c r="N73" s="25"/>
      <c r="O73" s="25">
        <f>+E73-J73</f>
        <v>0</v>
      </c>
      <c r="P73" s="26">
        <f>SUM(L73:O73)</f>
        <v>0</v>
      </c>
      <c r="Q73" s="18"/>
    </row>
    <row r="74" spans="1:17" ht="12.75" customHeight="1">
      <c r="A74" s="3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6"/>
      <c r="Q74" s="18"/>
    </row>
    <row r="75" spans="1:17" ht="12.75" customHeight="1">
      <c r="A75" s="33" t="s">
        <v>88</v>
      </c>
      <c r="B75" s="17">
        <f t="shared" ref="B75:K75" si="37">+B76+B80</f>
        <v>498136</v>
      </c>
      <c r="C75" s="17">
        <f t="shared" si="37"/>
        <v>573826</v>
      </c>
      <c r="D75" s="17">
        <f t="shared" si="37"/>
        <v>0</v>
      </c>
      <c r="E75" s="17">
        <f t="shared" si="37"/>
        <v>7600</v>
      </c>
      <c r="F75" s="17">
        <f t="shared" si="37"/>
        <v>1079562</v>
      </c>
      <c r="G75" s="17">
        <f t="shared" si="37"/>
        <v>497580</v>
      </c>
      <c r="H75" s="17">
        <f t="shared" si="37"/>
        <v>450308</v>
      </c>
      <c r="I75" s="17">
        <f t="shared" si="37"/>
        <v>0</v>
      </c>
      <c r="J75" s="17">
        <f t="shared" si="37"/>
        <v>4821</v>
      </c>
      <c r="K75" s="17">
        <f t="shared" si="37"/>
        <v>952709</v>
      </c>
      <c r="L75" s="17">
        <f>+L76+L80</f>
        <v>556</v>
      </c>
      <c r="M75" s="17">
        <f>+M76+M80</f>
        <v>123518</v>
      </c>
      <c r="N75" s="17"/>
      <c r="O75" s="17">
        <f>+O76+O80</f>
        <v>2779</v>
      </c>
      <c r="P75" s="17">
        <f>+P76+P80</f>
        <v>126853</v>
      </c>
      <c r="Q75" s="18">
        <f>+K75/F75</f>
        <v>0.88249586406338865</v>
      </c>
    </row>
    <row r="76" spans="1:17" ht="12.75" customHeight="1">
      <c r="A76" s="41" t="s">
        <v>15</v>
      </c>
      <c r="B76" s="20">
        <f t="shared" ref="B76:K76" si="38">+B77+B78+B79</f>
        <v>498136</v>
      </c>
      <c r="C76" s="20">
        <f t="shared" si="38"/>
        <v>570275</v>
      </c>
      <c r="D76" s="20">
        <f t="shared" si="38"/>
        <v>0</v>
      </c>
      <c r="E76" s="20">
        <f t="shared" si="38"/>
        <v>7600</v>
      </c>
      <c r="F76" s="20">
        <f t="shared" si="38"/>
        <v>1076011</v>
      </c>
      <c r="G76" s="20">
        <f t="shared" si="38"/>
        <v>497580</v>
      </c>
      <c r="H76" s="20">
        <f t="shared" si="38"/>
        <v>450308</v>
      </c>
      <c r="I76" s="20">
        <f t="shared" si="38"/>
        <v>0</v>
      </c>
      <c r="J76" s="20">
        <f t="shared" si="38"/>
        <v>4821</v>
      </c>
      <c r="K76" s="20">
        <f t="shared" si="38"/>
        <v>952709</v>
      </c>
      <c r="L76" s="20">
        <f>+L77+L78+L79</f>
        <v>556</v>
      </c>
      <c r="M76" s="20">
        <f>+M77+M78+M79</f>
        <v>119967</v>
      </c>
      <c r="N76" s="20"/>
      <c r="O76" s="20">
        <f>+O77+O78+O79</f>
        <v>2779</v>
      </c>
      <c r="P76" s="21">
        <f>+P77+P78+P79</f>
        <v>123302</v>
      </c>
      <c r="Q76" s="18"/>
    </row>
    <row r="77" spans="1:17" ht="12.75" customHeight="1">
      <c r="A77" s="22" t="s">
        <v>16</v>
      </c>
      <c r="B77" s="29">
        <v>380925</v>
      </c>
      <c r="C77" s="29">
        <v>110878</v>
      </c>
      <c r="D77" s="29"/>
      <c r="E77" s="30">
        <v>7600</v>
      </c>
      <c r="F77" s="24">
        <f>SUM(B77:E77)</f>
        <v>499403</v>
      </c>
      <c r="G77" s="29">
        <f>404432-9952-10769-2786</f>
        <v>380925</v>
      </c>
      <c r="H77" s="29">
        <v>103708</v>
      </c>
      <c r="I77" s="29"/>
      <c r="J77" s="29">
        <v>4821</v>
      </c>
      <c r="K77" s="24">
        <f>SUM(G77:J77)</f>
        <v>489454</v>
      </c>
      <c r="L77" s="25">
        <f t="shared" ref="L77:M79" si="39">+B77-G77</f>
        <v>0</v>
      </c>
      <c r="M77" s="25">
        <f t="shared" si="39"/>
        <v>7170</v>
      </c>
      <c r="N77" s="25"/>
      <c r="O77" s="25">
        <f>+E77-J77</f>
        <v>2779</v>
      </c>
      <c r="P77" s="26">
        <f>SUM(L77:O77)</f>
        <v>9949</v>
      </c>
      <c r="Q77" s="18"/>
    </row>
    <row r="78" spans="1:17" ht="12.75" customHeight="1">
      <c r="A78" s="22" t="s">
        <v>17</v>
      </c>
      <c r="B78" s="29">
        <v>75153</v>
      </c>
      <c r="C78" s="29">
        <v>458810</v>
      </c>
      <c r="D78" s="29"/>
      <c r="E78" s="30"/>
      <c r="F78" s="24">
        <f>SUM(B78:E78)</f>
        <v>533963</v>
      </c>
      <c r="G78" s="29">
        <f>46630+7802+9952+10769</f>
        <v>75153</v>
      </c>
      <c r="H78" s="29">
        <v>346109</v>
      </c>
      <c r="I78" s="29"/>
      <c r="J78" s="34"/>
      <c r="K78" s="24">
        <f>SUM(G78:J78)</f>
        <v>421262</v>
      </c>
      <c r="L78" s="25">
        <f t="shared" si="39"/>
        <v>0</v>
      </c>
      <c r="M78" s="25">
        <f t="shared" si="39"/>
        <v>112701</v>
      </c>
      <c r="N78" s="25"/>
      <c r="O78" s="25">
        <f>+E78-J78</f>
        <v>0</v>
      </c>
      <c r="P78" s="26">
        <f>SUM(L78:O78)</f>
        <v>112701</v>
      </c>
      <c r="Q78" s="18"/>
    </row>
    <row r="79" spans="1:17" ht="12.75" customHeight="1">
      <c r="A79" s="22" t="s">
        <v>18</v>
      </c>
      <c r="B79" s="29">
        <v>42058</v>
      </c>
      <c r="C79" s="29">
        <v>587</v>
      </c>
      <c r="D79" s="29"/>
      <c r="E79" s="35"/>
      <c r="F79" s="24">
        <f>SUM(B79:E79)</f>
        <v>42645</v>
      </c>
      <c r="G79" s="29">
        <f>33605+5111+2786</f>
        <v>41502</v>
      </c>
      <c r="H79" s="29">
        <v>491</v>
      </c>
      <c r="I79" s="34"/>
      <c r="J79" s="34"/>
      <c r="K79" s="24">
        <f>SUM(G79:J79)</f>
        <v>41993</v>
      </c>
      <c r="L79" s="25">
        <f t="shared" si="39"/>
        <v>556</v>
      </c>
      <c r="M79" s="25">
        <f t="shared" si="39"/>
        <v>96</v>
      </c>
      <c r="N79" s="25"/>
      <c r="O79" s="25">
        <f>+E79-J79</f>
        <v>0</v>
      </c>
      <c r="P79" s="26">
        <f>SUM(L79:O79)</f>
        <v>652</v>
      </c>
      <c r="Q79" s="18"/>
    </row>
    <row r="80" spans="1:17" ht="12.75" customHeight="1">
      <c r="A80" s="22" t="s">
        <v>19</v>
      </c>
      <c r="B80" s="27">
        <f t="shared" ref="B80:K80" si="40">+B81+B82</f>
        <v>0</v>
      </c>
      <c r="C80" s="27">
        <f t="shared" si="40"/>
        <v>3551</v>
      </c>
      <c r="D80" s="27">
        <f t="shared" si="40"/>
        <v>0</v>
      </c>
      <c r="E80" s="27">
        <f t="shared" si="40"/>
        <v>0</v>
      </c>
      <c r="F80" s="27">
        <f t="shared" si="40"/>
        <v>3551</v>
      </c>
      <c r="G80" s="27">
        <f t="shared" si="40"/>
        <v>0</v>
      </c>
      <c r="H80" s="27">
        <f t="shared" si="40"/>
        <v>0</v>
      </c>
      <c r="I80" s="27">
        <f t="shared" si="40"/>
        <v>0</v>
      </c>
      <c r="J80" s="27">
        <f t="shared" si="40"/>
        <v>0</v>
      </c>
      <c r="K80" s="27">
        <f t="shared" si="40"/>
        <v>0</v>
      </c>
      <c r="L80" s="27">
        <f>+L81+L82</f>
        <v>0</v>
      </c>
      <c r="M80" s="27">
        <f>+M81+M82</f>
        <v>3551</v>
      </c>
      <c r="N80" s="27"/>
      <c r="O80" s="27">
        <f>+O81+O82</f>
        <v>0</v>
      </c>
      <c r="P80" s="28">
        <f>+P81+P82</f>
        <v>3551</v>
      </c>
      <c r="Q80" s="18"/>
    </row>
    <row r="81" spans="1:17" ht="12.75" customHeight="1">
      <c r="A81" s="23" t="s">
        <v>20</v>
      </c>
      <c r="B81" s="29"/>
      <c r="C81" s="29">
        <v>3551</v>
      </c>
      <c r="D81" s="29"/>
      <c r="E81" s="30"/>
      <c r="F81" s="24">
        <f>SUM(B81:E81)</f>
        <v>3551</v>
      </c>
      <c r="G81" s="29"/>
      <c r="H81" s="29"/>
      <c r="I81" s="29"/>
      <c r="J81" s="29"/>
      <c r="K81" s="24">
        <f>SUM(G81:J81)</f>
        <v>0</v>
      </c>
      <c r="L81" s="25">
        <f>+B81-G81</f>
        <v>0</v>
      </c>
      <c r="M81" s="25">
        <f>+C81-H81</f>
        <v>3551</v>
      </c>
      <c r="N81" s="25"/>
      <c r="O81" s="25">
        <f>+E81-J81</f>
        <v>0</v>
      </c>
      <c r="P81" s="26">
        <f>SUM(L81:O81)</f>
        <v>3551</v>
      </c>
      <c r="Q81" s="18"/>
    </row>
    <row r="82" spans="1:17" ht="12.75" customHeight="1">
      <c r="A82" s="23" t="s">
        <v>21</v>
      </c>
      <c r="B82" s="29"/>
      <c r="C82" s="29"/>
      <c r="D82" s="29"/>
      <c r="E82" s="30"/>
      <c r="F82" s="24">
        <f>SUM(B82:E82)</f>
        <v>0</v>
      </c>
      <c r="G82" s="29"/>
      <c r="H82" s="29"/>
      <c r="I82" s="29"/>
      <c r="J82" s="29"/>
      <c r="K82" s="24">
        <f>SUM(G82:J82)</f>
        <v>0</v>
      </c>
      <c r="L82" s="25">
        <f>+B82-G82</f>
        <v>0</v>
      </c>
      <c r="M82" s="25">
        <f>+C82-H82</f>
        <v>0</v>
      </c>
      <c r="N82" s="25"/>
      <c r="O82" s="25">
        <f>+E82-J82</f>
        <v>0</v>
      </c>
      <c r="P82" s="26">
        <f>SUM(L82:O82)</f>
        <v>0</v>
      </c>
      <c r="Q82" s="18"/>
    </row>
    <row r="83" spans="1:17" ht="12.75" customHeight="1">
      <c r="A83" s="33"/>
      <c r="B83" s="24"/>
      <c r="C83" s="24"/>
      <c r="D83" s="24"/>
      <c r="E83" s="24"/>
      <c r="F83" s="24"/>
      <c r="G83" s="32"/>
      <c r="H83" s="32"/>
      <c r="I83" s="32"/>
      <c r="J83" s="32"/>
      <c r="K83" s="32"/>
      <c r="L83" s="24"/>
      <c r="M83" s="24"/>
      <c r="N83" s="24"/>
      <c r="O83" s="24"/>
      <c r="P83" s="26"/>
      <c r="Q83" s="18"/>
    </row>
    <row r="84" spans="1:17" ht="12.75" customHeight="1">
      <c r="A84" s="33" t="s">
        <v>89</v>
      </c>
      <c r="B84" s="17">
        <f t="shared" ref="B84:K84" si="41">+B85+B89</f>
        <v>562364</v>
      </c>
      <c r="C84" s="17">
        <f t="shared" si="41"/>
        <v>69399</v>
      </c>
      <c r="D84" s="17">
        <f t="shared" si="41"/>
        <v>0</v>
      </c>
      <c r="E84" s="17">
        <f t="shared" si="41"/>
        <v>5585</v>
      </c>
      <c r="F84" s="17">
        <f t="shared" si="41"/>
        <v>637348</v>
      </c>
      <c r="G84" s="17">
        <f t="shared" si="41"/>
        <v>549115</v>
      </c>
      <c r="H84" s="17">
        <f t="shared" si="41"/>
        <v>67208</v>
      </c>
      <c r="I84" s="17">
        <f t="shared" si="41"/>
        <v>0</v>
      </c>
      <c r="J84" s="17">
        <f t="shared" si="41"/>
        <v>5575</v>
      </c>
      <c r="K84" s="17">
        <f t="shared" si="41"/>
        <v>621898</v>
      </c>
      <c r="L84" s="17">
        <f>+L85+L89</f>
        <v>13249</v>
      </c>
      <c r="M84" s="17">
        <f>+M85+M89</f>
        <v>2191</v>
      </c>
      <c r="N84" s="17"/>
      <c r="O84" s="17">
        <f>+O85+O89</f>
        <v>10</v>
      </c>
      <c r="P84" s="17">
        <f>+P85+P89</f>
        <v>15450</v>
      </c>
      <c r="Q84" s="18">
        <f>+K84/F84</f>
        <v>0.97575892604981895</v>
      </c>
    </row>
    <row r="85" spans="1:17" ht="12.75" customHeight="1">
      <c r="A85" s="41" t="s">
        <v>15</v>
      </c>
      <c r="B85" s="20">
        <f t="shared" ref="B85:K85" si="42">+B86+B87+B88</f>
        <v>562364</v>
      </c>
      <c r="C85" s="20">
        <f t="shared" si="42"/>
        <v>67943</v>
      </c>
      <c r="D85" s="20">
        <f t="shared" si="42"/>
        <v>0</v>
      </c>
      <c r="E85" s="20">
        <f t="shared" si="42"/>
        <v>5585</v>
      </c>
      <c r="F85" s="20">
        <f t="shared" si="42"/>
        <v>635892</v>
      </c>
      <c r="G85" s="20">
        <f t="shared" si="42"/>
        <v>549115</v>
      </c>
      <c r="H85" s="20">
        <f t="shared" si="42"/>
        <v>67208</v>
      </c>
      <c r="I85" s="20">
        <f t="shared" si="42"/>
        <v>0</v>
      </c>
      <c r="J85" s="20">
        <f t="shared" si="42"/>
        <v>5575</v>
      </c>
      <c r="K85" s="20">
        <f t="shared" si="42"/>
        <v>621898</v>
      </c>
      <c r="L85" s="20">
        <f>+L86+L87+L88</f>
        <v>13249</v>
      </c>
      <c r="M85" s="20">
        <f>+M86+M87+M88</f>
        <v>735</v>
      </c>
      <c r="N85" s="20"/>
      <c r="O85" s="20">
        <f>+O86+O87+O88</f>
        <v>10</v>
      </c>
      <c r="P85" s="21">
        <f>+P86+P87+P88</f>
        <v>13994</v>
      </c>
      <c r="Q85" s="18"/>
    </row>
    <row r="86" spans="1:17" ht="12.75" customHeight="1">
      <c r="A86" s="22" t="s">
        <v>16</v>
      </c>
      <c r="B86" s="29">
        <v>443071</v>
      </c>
      <c r="C86" s="29">
        <v>67943</v>
      </c>
      <c r="D86" s="29"/>
      <c r="E86" s="30">
        <v>5585</v>
      </c>
      <c r="F86" s="24">
        <f>SUM(B86:E86)</f>
        <v>516599</v>
      </c>
      <c r="G86" s="29">
        <f>332540+99648</f>
        <v>432188</v>
      </c>
      <c r="H86" s="29">
        <v>67208</v>
      </c>
      <c r="I86" s="29"/>
      <c r="J86" s="29">
        <v>5575</v>
      </c>
      <c r="K86" s="24">
        <f>SUM(G86:J86)</f>
        <v>504971</v>
      </c>
      <c r="L86" s="25">
        <f t="shared" ref="L86:M88" si="43">+B86-G86</f>
        <v>10883</v>
      </c>
      <c r="M86" s="25">
        <f t="shared" si="43"/>
        <v>735</v>
      </c>
      <c r="N86" s="25"/>
      <c r="O86" s="25">
        <f>+E86-J86</f>
        <v>10</v>
      </c>
      <c r="P86" s="26">
        <f>SUM(L86:O86)</f>
        <v>11628</v>
      </c>
      <c r="Q86" s="18"/>
    </row>
    <row r="87" spans="1:17" ht="12.75" customHeight="1">
      <c r="A87" s="22" t="s">
        <v>17</v>
      </c>
      <c r="B87" s="29">
        <v>77389</v>
      </c>
      <c r="C87" s="34"/>
      <c r="D87" s="34"/>
      <c r="E87" s="30"/>
      <c r="F87" s="24">
        <f>SUM(B87:E87)</f>
        <v>77389</v>
      </c>
      <c r="G87" s="29">
        <f>13796+4682+5915+52962</f>
        <v>77355</v>
      </c>
      <c r="H87" s="34"/>
      <c r="I87" s="34"/>
      <c r="J87" s="34"/>
      <c r="K87" s="24">
        <f>SUM(G87:J87)</f>
        <v>77355</v>
      </c>
      <c r="L87" s="25">
        <f t="shared" si="43"/>
        <v>34</v>
      </c>
      <c r="M87" s="25">
        <f t="shared" si="43"/>
        <v>0</v>
      </c>
      <c r="N87" s="25"/>
      <c r="O87" s="25">
        <f>+E87-J87</f>
        <v>0</v>
      </c>
      <c r="P87" s="26">
        <f>SUM(L87:O87)</f>
        <v>34</v>
      </c>
      <c r="Q87" s="18"/>
    </row>
    <row r="88" spans="1:17" ht="12.75" customHeight="1">
      <c r="A88" s="22" t="s">
        <v>18</v>
      </c>
      <c r="B88" s="29">
        <v>41904</v>
      </c>
      <c r="C88" s="34"/>
      <c r="D88" s="34"/>
      <c r="E88" s="30"/>
      <c r="F88" s="24">
        <f>SUM(B88:E88)</f>
        <v>41904</v>
      </c>
      <c r="G88" s="29">
        <v>39572</v>
      </c>
      <c r="H88" s="34"/>
      <c r="I88" s="34"/>
      <c r="J88" s="29"/>
      <c r="K88" s="24">
        <f>SUM(G88:J88)</f>
        <v>39572</v>
      </c>
      <c r="L88" s="25">
        <f t="shared" si="43"/>
        <v>2332</v>
      </c>
      <c r="M88" s="25">
        <f t="shared" si="43"/>
        <v>0</v>
      </c>
      <c r="N88" s="25"/>
      <c r="O88" s="25">
        <f>+E88-J88</f>
        <v>0</v>
      </c>
      <c r="P88" s="26">
        <f>SUM(L88:O88)</f>
        <v>2332</v>
      </c>
      <c r="Q88" s="18"/>
    </row>
    <row r="89" spans="1:17" ht="12.75" customHeight="1">
      <c r="A89" s="22" t="s">
        <v>19</v>
      </c>
      <c r="B89" s="27">
        <f t="shared" ref="B89:K89" si="44">+B90+B91</f>
        <v>0</v>
      </c>
      <c r="C89" s="27">
        <f t="shared" si="44"/>
        <v>1456</v>
      </c>
      <c r="D89" s="27">
        <f t="shared" si="44"/>
        <v>0</v>
      </c>
      <c r="E89" s="27">
        <f t="shared" si="44"/>
        <v>0</v>
      </c>
      <c r="F89" s="27">
        <f t="shared" si="44"/>
        <v>1456</v>
      </c>
      <c r="G89" s="27">
        <f t="shared" si="44"/>
        <v>0</v>
      </c>
      <c r="H89" s="27">
        <f t="shared" si="44"/>
        <v>0</v>
      </c>
      <c r="I89" s="27">
        <f t="shared" si="44"/>
        <v>0</v>
      </c>
      <c r="J89" s="27">
        <f t="shared" si="44"/>
        <v>0</v>
      </c>
      <c r="K89" s="27">
        <f t="shared" si="44"/>
        <v>0</v>
      </c>
      <c r="L89" s="27">
        <f>+L90+L91</f>
        <v>0</v>
      </c>
      <c r="M89" s="27">
        <f>+M90+M91</f>
        <v>1456</v>
      </c>
      <c r="N89" s="27"/>
      <c r="O89" s="27">
        <f>+O90+O91</f>
        <v>0</v>
      </c>
      <c r="P89" s="28">
        <f>+P90+P91</f>
        <v>1456</v>
      </c>
      <c r="Q89" s="18"/>
    </row>
    <row r="90" spans="1:17" ht="12.75" customHeight="1">
      <c r="A90" s="23" t="s">
        <v>20</v>
      </c>
      <c r="B90" s="29"/>
      <c r="C90" s="29">
        <v>1456</v>
      </c>
      <c r="D90" s="29"/>
      <c r="E90" s="30"/>
      <c r="F90" s="24">
        <f>SUM(B90:E90)</f>
        <v>1456</v>
      </c>
      <c r="G90" s="29"/>
      <c r="H90" s="29"/>
      <c r="I90" s="29"/>
      <c r="J90" s="29"/>
      <c r="K90" s="24">
        <f>SUM(G90:J90)</f>
        <v>0</v>
      </c>
      <c r="L90" s="25">
        <f>+B90-G90</f>
        <v>0</v>
      </c>
      <c r="M90" s="25">
        <f>+C90-H90</f>
        <v>1456</v>
      </c>
      <c r="N90" s="25"/>
      <c r="O90" s="25">
        <f>+E90-J90</f>
        <v>0</v>
      </c>
      <c r="P90" s="26">
        <f>SUM(L90:O90)</f>
        <v>1456</v>
      </c>
      <c r="Q90" s="18"/>
    </row>
    <row r="91" spans="1:17" ht="12.75" customHeight="1">
      <c r="A91" s="23" t="s">
        <v>21</v>
      </c>
      <c r="B91" s="29"/>
      <c r="C91" s="29"/>
      <c r="D91" s="29"/>
      <c r="E91" s="30"/>
      <c r="F91" s="24">
        <f>SUM(B91:E91)</f>
        <v>0</v>
      </c>
      <c r="G91" s="29"/>
      <c r="H91" s="29"/>
      <c r="I91" s="29"/>
      <c r="J91" s="29"/>
      <c r="K91" s="24">
        <f>SUM(G91:J91)</f>
        <v>0</v>
      </c>
      <c r="L91" s="25">
        <f>+B91-G91</f>
        <v>0</v>
      </c>
      <c r="M91" s="25">
        <f>+C91-H91</f>
        <v>0</v>
      </c>
      <c r="N91" s="25"/>
      <c r="O91" s="25">
        <f>+E91-J91</f>
        <v>0</v>
      </c>
      <c r="P91" s="26">
        <f>SUM(L91:O91)</f>
        <v>0</v>
      </c>
      <c r="Q91" s="18"/>
    </row>
    <row r="92" spans="1:17" ht="12.75" customHeight="1">
      <c r="A92" s="33"/>
      <c r="B92" s="24"/>
      <c r="C92" s="24"/>
      <c r="D92" s="24"/>
      <c r="E92" s="24"/>
      <c r="F92" s="24"/>
      <c r="G92" s="32"/>
      <c r="H92" s="32"/>
      <c r="I92" s="32"/>
      <c r="J92" s="32"/>
      <c r="K92" s="32"/>
      <c r="L92" s="24"/>
      <c r="M92" s="24"/>
      <c r="N92" s="24"/>
      <c r="O92" s="24"/>
      <c r="P92" s="26"/>
      <c r="Q92" s="18"/>
    </row>
    <row r="93" spans="1:17" ht="12.75" customHeight="1">
      <c r="A93" s="215" t="s">
        <v>90</v>
      </c>
      <c r="B93" s="17">
        <f t="shared" ref="B93:K93" si="45">+B94+B98</f>
        <v>64358</v>
      </c>
      <c r="C93" s="17">
        <f t="shared" si="45"/>
        <v>78481</v>
      </c>
      <c r="D93" s="17">
        <f t="shared" si="45"/>
        <v>0</v>
      </c>
      <c r="E93" s="17">
        <f t="shared" si="45"/>
        <v>0</v>
      </c>
      <c r="F93" s="17">
        <f t="shared" si="45"/>
        <v>142839</v>
      </c>
      <c r="G93" s="17">
        <f t="shared" si="45"/>
        <v>60894</v>
      </c>
      <c r="H93" s="17">
        <f t="shared" si="45"/>
        <v>64540</v>
      </c>
      <c r="I93" s="17">
        <f t="shared" si="45"/>
        <v>0</v>
      </c>
      <c r="J93" s="17">
        <f t="shared" si="45"/>
        <v>0</v>
      </c>
      <c r="K93" s="17">
        <f t="shared" si="45"/>
        <v>125434</v>
      </c>
      <c r="L93" s="17">
        <f>+L94+L98</f>
        <v>3464</v>
      </c>
      <c r="M93" s="17">
        <f>+M94+M98</f>
        <v>13941</v>
      </c>
      <c r="N93" s="17"/>
      <c r="O93" s="17">
        <f>+O94+O98</f>
        <v>0</v>
      </c>
      <c r="P93" s="17">
        <f>+P94+P98</f>
        <v>17405</v>
      </c>
      <c r="Q93" s="18">
        <f>+K93/F93</f>
        <v>0.87814952498967369</v>
      </c>
    </row>
    <row r="94" spans="1:17" ht="12.75" customHeight="1">
      <c r="A94" s="41" t="s">
        <v>15</v>
      </c>
      <c r="B94" s="20">
        <f t="shared" ref="B94:K94" si="46">+B95+B96+B97</f>
        <v>64358</v>
      </c>
      <c r="C94" s="20">
        <f t="shared" si="46"/>
        <v>64402</v>
      </c>
      <c r="D94" s="20">
        <f t="shared" si="46"/>
        <v>0</v>
      </c>
      <c r="E94" s="20">
        <f t="shared" si="46"/>
        <v>0</v>
      </c>
      <c r="F94" s="20">
        <f t="shared" si="46"/>
        <v>128760</v>
      </c>
      <c r="G94" s="20">
        <f t="shared" si="46"/>
        <v>60894</v>
      </c>
      <c r="H94" s="20">
        <f t="shared" si="46"/>
        <v>58752</v>
      </c>
      <c r="I94" s="20">
        <f t="shared" si="46"/>
        <v>0</v>
      </c>
      <c r="J94" s="20">
        <f t="shared" si="46"/>
        <v>0</v>
      </c>
      <c r="K94" s="20">
        <f t="shared" si="46"/>
        <v>119646</v>
      </c>
      <c r="L94" s="20">
        <f>+L95+L96+L97</f>
        <v>3464</v>
      </c>
      <c r="M94" s="20">
        <f>+M95+M96+M97</f>
        <v>5650</v>
      </c>
      <c r="N94" s="20"/>
      <c r="O94" s="20">
        <f>+O95+O96+O97</f>
        <v>0</v>
      </c>
      <c r="P94" s="21">
        <f>+P95+P96+P97</f>
        <v>9114</v>
      </c>
      <c r="Q94" s="18"/>
    </row>
    <row r="95" spans="1:17" ht="12.75" customHeight="1">
      <c r="A95" s="22" t="s">
        <v>16</v>
      </c>
      <c r="B95" s="29">
        <v>57709</v>
      </c>
      <c r="C95" s="29">
        <v>44402</v>
      </c>
      <c r="D95" s="29"/>
      <c r="E95" s="30"/>
      <c r="F95" s="24">
        <f>SUM(B95:E95)</f>
        <v>102111</v>
      </c>
      <c r="G95" s="29">
        <f>60894-3914-1745-528</f>
        <v>54707</v>
      </c>
      <c r="H95" s="29">
        <v>41273</v>
      </c>
      <c r="I95" s="29"/>
      <c r="J95" s="29"/>
      <c r="K95" s="24">
        <f>SUM(G95:J95)</f>
        <v>95980</v>
      </c>
      <c r="L95" s="25">
        <f t="shared" ref="L95:M97" si="47">+B95-G95</f>
        <v>3002</v>
      </c>
      <c r="M95" s="25">
        <f t="shared" si="47"/>
        <v>3129</v>
      </c>
      <c r="N95" s="25"/>
      <c r="O95" s="25">
        <f>+E95-J95</f>
        <v>0</v>
      </c>
      <c r="P95" s="26">
        <f>SUM(L95:O95)</f>
        <v>6131</v>
      </c>
      <c r="Q95" s="18"/>
    </row>
    <row r="96" spans="1:17" ht="12.75" customHeight="1">
      <c r="A96" s="22" t="s">
        <v>17</v>
      </c>
      <c r="B96" s="29">
        <v>2310</v>
      </c>
      <c r="C96" s="34"/>
      <c r="D96" s="34"/>
      <c r="E96" s="30"/>
      <c r="F96" s="24">
        <f>SUM(B96:E96)</f>
        <v>2310</v>
      </c>
      <c r="G96" s="29">
        <f>1745+528</f>
        <v>2273</v>
      </c>
      <c r="H96" s="34"/>
      <c r="I96" s="34"/>
      <c r="J96" s="34"/>
      <c r="K96" s="24">
        <f>SUM(G96:J96)</f>
        <v>2273</v>
      </c>
      <c r="L96" s="25">
        <f t="shared" si="47"/>
        <v>37</v>
      </c>
      <c r="M96" s="25">
        <f t="shared" si="47"/>
        <v>0</v>
      </c>
      <c r="N96" s="25"/>
      <c r="O96" s="25">
        <f>+E96-J96</f>
        <v>0</v>
      </c>
      <c r="P96" s="26">
        <f>SUM(L96:O96)</f>
        <v>37</v>
      </c>
      <c r="Q96" s="18"/>
    </row>
    <row r="97" spans="1:17" ht="12.75" customHeight="1">
      <c r="A97" s="22" t="s">
        <v>18</v>
      </c>
      <c r="B97" s="29">
        <v>4339</v>
      </c>
      <c r="C97" s="29">
        <v>20000</v>
      </c>
      <c r="D97" s="29"/>
      <c r="E97" s="35"/>
      <c r="F97" s="24">
        <f>SUM(B97:E97)</f>
        <v>24339</v>
      </c>
      <c r="G97" s="29">
        <v>3914</v>
      </c>
      <c r="H97" s="29">
        <v>17479</v>
      </c>
      <c r="I97" s="29"/>
      <c r="J97" s="34"/>
      <c r="K97" s="24">
        <f>SUM(G97:J97)</f>
        <v>21393</v>
      </c>
      <c r="L97" s="25">
        <f t="shared" si="47"/>
        <v>425</v>
      </c>
      <c r="M97" s="25">
        <f t="shared" si="47"/>
        <v>2521</v>
      </c>
      <c r="N97" s="25"/>
      <c r="O97" s="25">
        <f>+E97-J97</f>
        <v>0</v>
      </c>
      <c r="P97" s="26">
        <f>SUM(L97:O97)</f>
        <v>2946</v>
      </c>
      <c r="Q97" s="18"/>
    </row>
    <row r="98" spans="1:17" ht="12.75" customHeight="1">
      <c r="A98" s="22" t="s">
        <v>19</v>
      </c>
      <c r="B98" s="27">
        <f t="shared" ref="B98:K98" si="48">+B99+B100</f>
        <v>0</v>
      </c>
      <c r="C98" s="27">
        <f t="shared" si="48"/>
        <v>14079</v>
      </c>
      <c r="D98" s="27">
        <f t="shared" si="48"/>
        <v>0</v>
      </c>
      <c r="E98" s="27">
        <f t="shared" si="48"/>
        <v>0</v>
      </c>
      <c r="F98" s="27">
        <f t="shared" si="48"/>
        <v>14079</v>
      </c>
      <c r="G98" s="27">
        <f t="shared" si="48"/>
        <v>0</v>
      </c>
      <c r="H98" s="27">
        <f t="shared" si="48"/>
        <v>5788</v>
      </c>
      <c r="I98" s="27">
        <f t="shared" si="48"/>
        <v>0</v>
      </c>
      <c r="J98" s="27">
        <f t="shared" si="48"/>
        <v>0</v>
      </c>
      <c r="K98" s="27">
        <f t="shared" si="48"/>
        <v>5788</v>
      </c>
      <c r="L98" s="27">
        <f>+L99+L100</f>
        <v>0</v>
      </c>
      <c r="M98" s="27">
        <f>+M99+M100</f>
        <v>8291</v>
      </c>
      <c r="N98" s="27"/>
      <c r="O98" s="27">
        <f>+O99+O100</f>
        <v>0</v>
      </c>
      <c r="P98" s="28">
        <f>+P99+P100</f>
        <v>8291</v>
      </c>
      <c r="Q98" s="18"/>
    </row>
    <row r="99" spans="1:17" ht="12.75" customHeight="1">
      <c r="A99" s="23" t="s">
        <v>20</v>
      </c>
      <c r="B99" s="29"/>
      <c r="C99" s="29">
        <v>14079</v>
      </c>
      <c r="D99" s="29"/>
      <c r="E99" s="30">
        <v>0</v>
      </c>
      <c r="F99" s="24">
        <f>SUM(B99:E99)</f>
        <v>14079</v>
      </c>
      <c r="G99" s="29"/>
      <c r="H99" s="29">
        <f>5683+105</f>
        <v>5788</v>
      </c>
      <c r="I99" s="29"/>
      <c r="J99" s="29"/>
      <c r="K99" s="24">
        <f>SUM(G99:J99)</f>
        <v>5788</v>
      </c>
      <c r="L99" s="25">
        <f>+B99-G99</f>
        <v>0</v>
      </c>
      <c r="M99" s="25">
        <f>+C99-H99</f>
        <v>8291</v>
      </c>
      <c r="N99" s="25"/>
      <c r="O99" s="25">
        <f>+E99-J99</f>
        <v>0</v>
      </c>
      <c r="P99" s="26">
        <f>SUM(L99:O99)</f>
        <v>8291</v>
      </c>
      <c r="Q99" s="18"/>
    </row>
    <row r="100" spans="1:17" ht="12.75" customHeight="1">
      <c r="A100" s="23" t="s">
        <v>21</v>
      </c>
      <c r="B100" s="29"/>
      <c r="C100" s="29"/>
      <c r="D100" s="29"/>
      <c r="E100" s="30"/>
      <c r="F100" s="24">
        <f>SUM(B100:E100)</f>
        <v>0</v>
      </c>
      <c r="G100" s="29"/>
      <c r="H100" s="29"/>
      <c r="I100" s="29"/>
      <c r="J100" s="29"/>
      <c r="K100" s="24">
        <f>SUM(G100:J100)</f>
        <v>0</v>
      </c>
      <c r="L100" s="25">
        <f>+B100-G100</f>
        <v>0</v>
      </c>
      <c r="M100" s="25">
        <f>+C100-H100</f>
        <v>0</v>
      </c>
      <c r="N100" s="25"/>
      <c r="O100" s="25">
        <f>+E100-J100</f>
        <v>0</v>
      </c>
      <c r="P100" s="26">
        <f>SUM(L100:O100)</f>
        <v>0</v>
      </c>
      <c r="Q100" s="18"/>
    </row>
    <row r="101" spans="1:17" ht="12.75" customHeight="1">
      <c r="A101" s="33"/>
      <c r="B101" s="24"/>
      <c r="C101" s="24"/>
      <c r="D101" s="24"/>
      <c r="E101" s="24"/>
      <c r="F101" s="24"/>
      <c r="G101" s="24"/>
      <c r="H101" s="24"/>
      <c r="I101" s="29"/>
      <c r="J101" s="24"/>
      <c r="K101" s="24"/>
      <c r="L101" s="24"/>
      <c r="M101" s="24"/>
      <c r="N101" s="24"/>
      <c r="O101" s="24"/>
      <c r="P101" s="26"/>
      <c r="Q101" s="18"/>
    </row>
    <row r="102" spans="1:17" ht="12.75" customHeight="1">
      <c r="A102" s="33" t="s">
        <v>91</v>
      </c>
      <c r="B102" s="17">
        <f t="shared" ref="B102:K102" si="49">+B103+B107</f>
        <v>1875975</v>
      </c>
      <c r="C102" s="17">
        <f t="shared" si="49"/>
        <v>92120</v>
      </c>
      <c r="D102" s="17">
        <f t="shared" si="49"/>
        <v>0</v>
      </c>
      <c r="E102" s="17">
        <f t="shared" si="49"/>
        <v>3700</v>
      </c>
      <c r="F102" s="17">
        <f t="shared" si="49"/>
        <v>1971795</v>
      </c>
      <c r="G102" s="17">
        <f t="shared" si="49"/>
        <v>1875975</v>
      </c>
      <c r="H102" s="17">
        <f t="shared" si="49"/>
        <v>92120</v>
      </c>
      <c r="I102" s="17">
        <f t="shared" si="49"/>
        <v>0</v>
      </c>
      <c r="J102" s="17">
        <f t="shared" si="49"/>
        <v>3700</v>
      </c>
      <c r="K102" s="17">
        <f t="shared" si="49"/>
        <v>1971795</v>
      </c>
      <c r="L102" s="17">
        <f>+L103+L107</f>
        <v>0</v>
      </c>
      <c r="M102" s="17">
        <f>+M103+M107</f>
        <v>0</v>
      </c>
      <c r="N102" s="17"/>
      <c r="O102" s="17">
        <f>+O103+O107</f>
        <v>0</v>
      </c>
      <c r="P102" s="17">
        <f>+P103+P107</f>
        <v>0</v>
      </c>
      <c r="Q102" s="18">
        <f>+K102/F102</f>
        <v>1</v>
      </c>
    </row>
    <row r="103" spans="1:17" ht="12.75" customHeight="1">
      <c r="A103" s="41" t="s">
        <v>15</v>
      </c>
      <c r="B103" s="20">
        <f t="shared" ref="B103:K103" si="50">+B104+B105+B106</f>
        <v>1875975</v>
      </c>
      <c r="C103" s="20">
        <f t="shared" si="50"/>
        <v>92120</v>
      </c>
      <c r="D103" s="20">
        <f t="shared" si="50"/>
        <v>0</v>
      </c>
      <c r="E103" s="20">
        <f t="shared" si="50"/>
        <v>3700</v>
      </c>
      <c r="F103" s="20">
        <f t="shared" si="50"/>
        <v>1971795</v>
      </c>
      <c r="G103" s="20">
        <f t="shared" si="50"/>
        <v>1875975</v>
      </c>
      <c r="H103" s="20">
        <f t="shared" si="50"/>
        <v>92120</v>
      </c>
      <c r="I103" s="20">
        <f t="shared" si="50"/>
        <v>0</v>
      </c>
      <c r="J103" s="20">
        <f t="shared" si="50"/>
        <v>3700</v>
      </c>
      <c r="K103" s="20">
        <f t="shared" si="50"/>
        <v>1971795</v>
      </c>
      <c r="L103" s="20">
        <f>+L104+L105+L106</f>
        <v>0</v>
      </c>
      <c r="M103" s="20">
        <f>+M104+M105+M106</f>
        <v>0</v>
      </c>
      <c r="N103" s="20"/>
      <c r="O103" s="20">
        <f>+O104+O105+O106</f>
        <v>0</v>
      </c>
      <c r="P103" s="21">
        <f>+P104+P105+P106</f>
        <v>0</v>
      </c>
      <c r="Q103" s="18"/>
    </row>
    <row r="104" spans="1:17" ht="12.75" customHeight="1">
      <c r="A104" s="22" t="s">
        <v>16</v>
      </c>
      <c r="B104" s="29">
        <v>1730053</v>
      </c>
      <c r="C104" s="29">
        <v>92120</v>
      </c>
      <c r="D104" s="29"/>
      <c r="E104" s="30">
        <v>3700</v>
      </c>
      <c r="F104" s="24">
        <f>SUM(B104:E104)</f>
        <v>1825873</v>
      </c>
      <c r="G104" s="29">
        <f>1772421-42368</f>
        <v>1730053</v>
      </c>
      <c r="H104" s="29">
        <v>92120</v>
      </c>
      <c r="I104" s="29"/>
      <c r="J104" s="29">
        <v>3700</v>
      </c>
      <c r="K104" s="24">
        <f>SUM(G104:J104)</f>
        <v>1825873</v>
      </c>
      <c r="L104" s="25">
        <f t="shared" ref="L104:M106" si="51">+B104-G104</f>
        <v>0</v>
      </c>
      <c r="M104" s="25">
        <f t="shared" si="51"/>
        <v>0</v>
      </c>
      <c r="N104" s="25"/>
      <c r="O104" s="25">
        <f>+E104-J104</f>
        <v>0</v>
      </c>
      <c r="P104" s="26">
        <f>SUM(L104:O104)</f>
        <v>0</v>
      </c>
      <c r="Q104" s="18"/>
    </row>
    <row r="105" spans="1:17" ht="12.75" customHeight="1">
      <c r="A105" s="22" t="s">
        <v>17</v>
      </c>
      <c r="B105" s="29">
        <v>73503</v>
      </c>
      <c r="C105" s="34"/>
      <c r="D105" s="34"/>
      <c r="E105" s="30"/>
      <c r="F105" s="24">
        <f>SUM(B105:E105)</f>
        <v>73503</v>
      </c>
      <c r="G105" s="29">
        <f>31135+42368</f>
        <v>73503</v>
      </c>
      <c r="H105" s="34"/>
      <c r="I105" s="34"/>
      <c r="J105" s="34"/>
      <c r="K105" s="24">
        <f>SUM(G105:J105)</f>
        <v>73503</v>
      </c>
      <c r="L105" s="25">
        <f t="shared" si="51"/>
        <v>0</v>
      </c>
      <c r="M105" s="25">
        <f t="shared" si="51"/>
        <v>0</v>
      </c>
      <c r="N105" s="25"/>
      <c r="O105" s="25">
        <f>+E105-J105</f>
        <v>0</v>
      </c>
      <c r="P105" s="26">
        <f>SUM(L105:O105)</f>
        <v>0</v>
      </c>
      <c r="Q105" s="18"/>
    </row>
    <row r="106" spans="1:17" ht="12.75" customHeight="1">
      <c r="A106" s="22" t="s">
        <v>18</v>
      </c>
      <c r="B106" s="29">
        <v>72419</v>
      </c>
      <c r="C106" s="34"/>
      <c r="D106" s="34"/>
      <c r="E106" s="35"/>
      <c r="F106" s="24">
        <f>SUM(B106:E106)</f>
        <v>72419</v>
      </c>
      <c r="G106" s="29">
        <v>72419</v>
      </c>
      <c r="H106" s="34"/>
      <c r="I106" s="34"/>
      <c r="J106" s="34"/>
      <c r="K106" s="24">
        <f>SUM(G106:J106)</f>
        <v>72419</v>
      </c>
      <c r="L106" s="25">
        <f t="shared" si="51"/>
        <v>0</v>
      </c>
      <c r="M106" s="25">
        <f t="shared" si="51"/>
        <v>0</v>
      </c>
      <c r="N106" s="25"/>
      <c r="O106" s="25">
        <f>+E106-J106</f>
        <v>0</v>
      </c>
      <c r="P106" s="26">
        <f>SUM(L106:O106)</f>
        <v>0</v>
      </c>
      <c r="Q106" s="18"/>
    </row>
    <row r="107" spans="1:17" ht="12.75" customHeight="1">
      <c r="A107" s="22" t="s">
        <v>19</v>
      </c>
      <c r="B107" s="27">
        <f t="shared" ref="B107:K107" si="52">+B108+B109</f>
        <v>0</v>
      </c>
      <c r="C107" s="27">
        <f t="shared" si="52"/>
        <v>0</v>
      </c>
      <c r="D107" s="27">
        <f t="shared" si="52"/>
        <v>0</v>
      </c>
      <c r="E107" s="27">
        <f t="shared" si="52"/>
        <v>0</v>
      </c>
      <c r="F107" s="27">
        <f t="shared" si="52"/>
        <v>0</v>
      </c>
      <c r="G107" s="27">
        <f t="shared" si="52"/>
        <v>0</v>
      </c>
      <c r="H107" s="27">
        <f t="shared" si="52"/>
        <v>0</v>
      </c>
      <c r="I107" s="27">
        <f t="shared" si="52"/>
        <v>0</v>
      </c>
      <c r="J107" s="27">
        <f t="shared" si="52"/>
        <v>0</v>
      </c>
      <c r="K107" s="27">
        <f t="shared" si="52"/>
        <v>0</v>
      </c>
      <c r="L107" s="27">
        <f>+L108+L109</f>
        <v>0</v>
      </c>
      <c r="M107" s="27">
        <f>+M108+M109</f>
        <v>0</v>
      </c>
      <c r="N107" s="27"/>
      <c r="O107" s="27">
        <f>+O108+O109</f>
        <v>0</v>
      </c>
      <c r="P107" s="28">
        <f>+P108+P109</f>
        <v>0</v>
      </c>
      <c r="Q107" s="18"/>
    </row>
    <row r="108" spans="1:17" ht="12.75" customHeight="1">
      <c r="A108" s="23" t="s">
        <v>20</v>
      </c>
      <c r="B108" s="29"/>
      <c r="C108" s="29"/>
      <c r="D108" s="29"/>
      <c r="E108" s="30"/>
      <c r="F108" s="24">
        <f>SUM(B108:E108)</f>
        <v>0</v>
      </c>
      <c r="G108" s="29"/>
      <c r="H108" s="29"/>
      <c r="I108" s="29"/>
      <c r="J108" s="29"/>
      <c r="K108" s="24">
        <f>SUM(G108:J108)</f>
        <v>0</v>
      </c>
      <c r="L108" s="25">
        <f>+B108-G108</f>
        <v>0</v>
      </c>
      <c r="M108" s="25">
        <f>+C108-H108</f>
        <v>0</v>
      </c>
      <c r="N108" s="25"/>
      <c r="O108" s="25">
        <f>+E108-J108</f>
        <v>0</v>
      </c>
      <c r="P108" s="26">
        <f>SUM(L108:O108)</f>
        <v>0</v>
      </c>
      <c r="Q108" s="18"/>
    </row>
    <row r="109" spans="1:17" ht="12.75" customHeight="1">
      <c r="A109" s="23" t="s">
        <v>21</v>
      </c>
      <c r="B109" s="29"/>
      <c r="C109" s="29"/>
      <c r="D109" s="29"/>
      <c r="E109" s="30"/>
      <c r="F109" s="24"/>
      <c r="G109" s="29"/>
      <c r="H109" s="29"/>
      <c r="I109" s="29"/>
      <c r="J109" s="29"/>
      <c r="K109" s="24">
        <f>SUM(G109:J109)</f>
        <v>0</v>
      </c>
      <c r="L109" s="25">
        <f>+B109-G109</f>
        <v>0</v>
      </c>
      <c r="M109" s="25">
        <f>+C109-H109</f>
        <v>0</v>
      </c>
      <c r="N109" s="25"/>
      <c r="O109" s="25">
        <f>+E109-J109</f>
        <v>0</v>
      </c>
      <c r="P109" s="26">
        <f>SUM(L109:O109)</f>
        <v>0</v>
      </c>
      <c r="Q109" s="18"/>
    </row>
    <row r="110" spans="1:17" ht="12.75" customHeight="1">
      <c r="A110" s="85"/>
      <c r="B110" s="77"/>
      <c r="C110" s="77"/>
      <c r="D110" s="77"/>
      <c r="E110" s="77"/>
      <c r="F110" s="77"/>
      <c r="G110" s="82"/>
      <c r="H110" s="82"/>
      <c r="I110" s="82"/>
      <c r="J110" s="82"/>
      <c r="K110" s="82"/>
      <c r="L110" s="77"/>
      <c r="M110" s="77"/>
      <c r="N110" s="77"/>
      <c r="O110" s="77"/>
      <c r="P110" s="75"/>
      <c r="Q110" s="76"/>
    </row>
    <row r="111" spans="1:17">
      <c r="A111" s="80"/>
    </row>
    <row r="112" spans="1:17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  <row r="1128" spans="1:1">
      <c r="A1128" s="80"/>
    </row>
    <row r="1129" spans="1:1">
      <c r="A1129" s="80"/>
    </row>
    <row r="1130" spans="1:1">
      <c r="A1130" s="80"/>
    </row>
    <row r="1131" spans="1:1">
      <c r="A1131" s="80"/>
    </row>
    <row r="1132" spans="1:1">
      <c r="A1132" s="80"/>
    </row>
    <row r="1133" spans="1:1">
      <c r="A1133" s="80"/>
    </row>
    <row r="1134" spans="1:1">
      <c r="A1134" s="80"/>
    </row>
    <row r="1135" spans="1:1">
      <c r="A1135" s="80"/>
    </row>
    <row r="1136" spans="1:1">
      <c r="A1136" s="80"/>
    </row>
    <row r="1137" spans="1:1">
      <c r="A1137" s="80"/>
    </row>
    <row r="1138" spans="1:1">
      <c r="A1138" s="80"/>
    </row>
    <row r="1139" spans="1:1">
      <c r="A1139" s="80"/>
    </row>
    <row r="1140" spans="1:1">
      <c r="A1140" s="80"/>
    </row>
    <row r="1141" spans="1:1">
      <c r="A1141" s="80"/>
    </row>
    <row r="1142" spans="1:1">
      <c r="A1142" s="80"/>
    </row>
    <row r="1143" spans="1:1">
      <c r="A1143" s="80"/>
    </row>
    <row r="1144" spans="1:1">
      <c r="A1144" s="80"/>
    </row>
    <row r="1145" spans="1:1">
      <c r="A1145" s="80"/>
    </row>
    <row r="1146" spans="1:1">
      <c r="A1146" s="80"/>
    </row>
    <row r="1147" spans="1:1">
      <c r="A1147" s="80"/>
    </row>
    <row r="1148" spans="1:1">
      <c r="A1148" s="80"/>
    </row>
    <row r="1149" spans="1:1">
      <c r="A1149" s="80"/>
    </row>
    <row r="1150" spans="1:1">
      <c r="A1150" s="80"/>
    </row>
    <row r="1151" spans="1:1">
      <c r="A1151" s="80"/>
    </row>
    <row r="1152" spans="1:1">
      <c r="A1152" s="80"/>
    </row>
    <row r="1153" spans="1:1">
      <c r="A1153" s="80"/>
    </row>
    <row r="1154" spans="1:1">
      <c r="A1154" s="80"/>
    </row>
    <row r="1155" spans="1:1">
      <c r="A1155" s="80"/>
    </row>
    <row r="1156" spans="1:1">
      <c r="A1156" s="80"/>
    </row>
    <row r="1157" spans="1:1">
      <c r="A1157" s="80"/>
    </row>
    <row r="1158" spans="1:1">
      <c r="A1158" s="80"/>
    </row>
    <row r="1159" spans="1:1">
      <c r="A1159" s="80"/>
    </row>
    <row r="1160" spans="1:1">
      <c r="A1160" s="80"/>
    </row>
    <row r="1161" spans="1:1">
      <c r="A1161" s="80"/>
    </row>
    <row r="1162" spans="1:1">
      <c r="A1162" s="80"/>
    </row>
    <row r="1163" spans="1:1">
      <c r="A1163" s="80"/>
    </row>
    <row r="1164" spans="1:1">
      <c r="A1164" s="80"/>
    </row>
    <row r="1165" spans="1:1">
      <c r="A1165" s="80"/>
    </row>
    <row r="1166" spans="1:1">
      <c r="A1166" s="80"/>
    </row>
    <row r="1167" spans="1:1">
      <c r="A1167" s="80"/>
    </row>
    <row r="1168" spans="1:1">
      <c r="A1168" s="80"/>
    </row>
    <row r="1169" spans="1:1">
      <c r="A1169" s="80"/>
    </row>
    <row r="1170" spans="1:1">
      <c r="A1170" s="80"/>
    </row>
    <row r="1171" spans="1:1">
      <c r="A1171" s="80"/>
    </row>
    <row r="1172" spans="1:1">
      <c r="A1172" s="80"/>
    </row>
    <row r="1173" spans="1:1">
      <c r="A1173" s="80"/>
    </row>
    <row r="1174" spans="1:1">
      <c r="A1174" s="80"/>
    </row>
    <row r="1175" spans="1:1">
      <c r="A1175" s="80"/>
    </row>
    <row r="1176" spans="1:1">
      <c r="A1176" s="80"/>
    </row>
    <row r="1177" spans="1:1">
      <c r="A1177" s="80"/>
    </row>
    <row r="1178" spans="1:1">
      <c r="A1178" s="80"/>
    </row>
    <row r="1179" spans="1:1">
      <c r="A1179" s="80"/>
    </row>
    <row r="1180" spans="1:1">
      <c r="A1180" s="80"/>
    </row>
    <row r="1181" spans="1:1">
      <c r="A1181" s="80"/>
    </row>
    <row r="1182" spans="1:1">
      <c r="A1182" s="80"/>
    </row>
    <row r="1183" spans="1:1">
      <c r="A1183" s="80"/>
    </row>
    <row r="1184" spans="1:1">
      <c r="A1184" s="80"/>
    </row>
    <row r="1185" spans="1:1">
      <c r="A1185" s="80"/>
    </row>
    <row r="1186" spans="1:1">
      <c r="A1186" s="80"/>
    </row>
    <row r="1187" spans="1:1">
      <c r="A1187" s="80"/>
    </row>
    <row r="1188" spans="1:1">
      <c r="A1188" s="80"/>
    </row>
    <row r="1189" spans="1:1">
      <c r="A1189" s="80"/>
    </row>
    <row r="1190" spans="1:1">
      <c r="A1190" s="80"/>
    </row>
    <row r="1191" spans="1:1">
      <c r="A1191" s="80"/>
    </row>
    <row r="1192" spans="1:1">
      <c r="A1192" s="80"/>
    </row>
    <row r="1193" spans="1:1">
      <c r="A1193" s="80"/>
    </row>
    <row r="1194" spans="1:1">
      <c r="A1194" s="80"/>
    </row>
    <row r="1195" spans="1:1">
      <c r="A1195" s="80"/>
    </row>
    <row r="1196" spans="1:1">
      <c r="A1196" s="80"/>
    </row>
    <row r="1197" spans="1:1">
      <c r="A1197" s="80"/>
    </row>
    <row r="1198" spans="1:1">
      <c r="A1198" s="80"/>
    </row>
    <row r="1199" spans="1:1">
      <c r="A1199" s="80"/>
    </row>
    <row r="1200" spans="1:1">
      <c r="A1200" s="80"/>
    </row>
    <row r="1201" spans="1:1">
      <c r="A1201" s="80"/>
    </row>
    <row r="1202" spans="1:1">
      <c r="A1202" s="80"/>
    </row>
    <row r="1203" spans="1:1">
      <c r="A1203" s="80"/>
    </row>
    <row r="1204" spans="1:1">
      <c r="A1204" s="80"/>
    </row>
    <row r="1205" spans="1:1">
      <c r="A1205" s="80"/>
    </row>
    <row r="1206" spans="1:1">
      <c r="A1206" s="80"/>
    </row>
    <row r="1207" spans="1:1">
      <c r="A1207" s="80"/>
    </row>
    <row r="1208" spans="1:1">
      <c r="A1208" s="80"/>
    </row>
    <row r="1209" spans="1:1">
      <c r="A1209" s="80"/>
    </row>
    <row r="1210" spans="1:1">
      <c r="A1210" s="80"/>
    </row>
    <row r="1211" spans="1:1">
      <c r="A1211" s="80"/>
    </row>
    <row r="1212" spans="1:1">
      <c r="A1212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05"/>
  <pageSetup paperSize="9" scale="71" fitToWidth="0" fitToHeight="0" orientation="landscape" r:id="rId1"/>
  <headerFooter alignWithMargins="0">
    <oddFooter>Page &amp;P of &amp;N</oddFooter>
  </headerFooter>
  <rowBreaks count="1" manualBreakCount="1">
    <brk id="55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30"/>
  <sheetViews>
    <sheetView showRuler="0" zoomScaleSheetLayoutView="100" workbookViewId="0">
      <pane xSplit="1" ySplit="8" topLeftCell="B48" activePane="bottomRight" state="frozen"/>
      <selection activeCell="A1459" sqref="A1459"/>
      <selection pane="topRight" activeCell="A1459" sqref="A1459"/>
      <selection pane="bottomLeft" activeCell="A1459" sqref="A1459"/>
      <selection pane="bottomRight" activeCell="E55" sqref="E55"/>
    </sheetView>
  </sheetViews>
  <sheetFormatPr defaultRowHeight="12.75"/>
  <cols>
    <col min="1" max="1" width="36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92</v>
      </c>
      <c r="B10" s="17">
        <f t="shared" ref="B10:P10" si="0">+B11+B15+B16</f>
        <v>4487223</v>
      </c>
      <c r="C10" s="17">
        <f t="shared" si="0"/>
        <v>9006012</v>
      </c>
      <c r="D10" s="17"/>
      <c r="E10" s="17">
        <f t="shared" si="0"/>
        <v>775188</v>
      </c>
      <c r="F10" s="17">
        <f t="shared" si="0"/>
        <v>14268423</v>
      </c>
      <c r="G10" s="17">
        <f t="shared" si="0"/>
        <v>4365509.2359999996</v>
      </c>
      <c r="H10" s="17">
        <f t="shared" si="0"/>
        <v>7945108.9010000005</v>
      </c>
      <c r="I10" s="17"/>
      <c r="J10" s="17">
        <f t="shared" si="0"/>
        <v>140476</v>
      </c>
      <c r="K10" s="17">
        <f t="shared" si="0"/>
        <v>12451094.137</v>
      </c>
      <c r="L10" s="17">
        <f t="shared" si="0"/>
        <v>121713.76399999997</v>
      </c>
      <c r="M10" s="17">
        <f t="shared" si="0"/>
        <v>1060903.0989999995</v>
      </c>
      <c r="N10" s="17"/>
      <c r="O10" s="17">
        <f t="shared" si="0"/>
        <v>634712</v>
      </c>
      <c r="P10" s="17">
        <f t="shared" si="0"/>
        <v>1817328.8629999994</v>
      </c>
      <c r="Q10" s="18">
        <f>+K10/F10</f>
        <v>0.87263281562370276</v>
      </c>
    </row>
    <row r="11" spans="1:18" ht="12.75" customHeight="1">
      <c r="A11" s="41" t="s">
        <v>15</v>
      </c>
      <c r="B11" s="20">
        <f t="shared" ref="B11:P11" si="1">+B12+B13+B14</f>
        <v>4487223</v>
      </c>
      <c r="C11" s="20">
        <f t="shared" si="1"/>
        <v>7921664</v>
      </c>
      <c r="D11" s="20"/>
      <c r="E11" s="20">
        <f t="shared" si="1"/>
        <v>675080</v>
      </c>
      <c r="F11" s="20">
        <f t="shared" si="1"/>
        <v>13083967</v>
      </c>
      <c r="G11" s="20">
        <f t="shared" si="1"/>
        <v>4365509.2359999996</v>
      </c>
      <c r="H11" s="20">
        <f t="shared" si="1"/>
        <v>7440248.9010000005</v>
      </c>
      <c r="I11" s="20"/>
      <c r="J11" s="20">
        <f t="shared" si="1"/>
        <v>114287</v>
      </c>
      <c r="K11" s="20">
        <f t="shared" si="1"/>
        <v>11920045.137</v>
      </c>
      <c r="L11" s="20">
        <f t="shared" si="1"/>
        <v>121713.76399999997</v>
      </c>
      <c r="M11" s="20">
        <f t="shared" si="1"/>
        <v>481415.09899999946</v>
      </c>
      <c r="N11" s="20"/>
      <c r="O11" s="20">
        <f t="shared" si="1"/>
        <v>560793</v>
      </c>
      <c r="P11" s="21">
        <f t="shared" si="1"/>
        <v>1163921.8629999994</v>
      </c>
      <c r="Q11" s="18"/>
    </row>
    <row r="12" spans="1:18" ht="12.75" customHeight="1">
      <c r="A12" s="22" t="s">
        <v>16</v>
      </c>
      <c r="B12" s="23">
        <f t="shared" ref="B12:E14" si="2">+B22+B32+B41+B50+B59+B68+B77+B86+B95</f>
        <v>3641779</v>
      </c>
      <c r="C12" s="23">
        <f t="shared" si="2"/>
        <v>7857122</v>
      </c>
      <c r="D12" s="23"/>
      <c r="E12" s="23">
        <f t="shared" si="2"/>
        <v>675080</v>
      </c>
      <c r="F12" s="24">
        <f>SUM(B12:E12)</f>
        <v>12173981</v>
      </c>
      <c r="G12" s="23">
        <f t="shared" ref="G12:J14" si="3">+G22+G32+G41+G50+G59+G68+G77+G86+G95</f>
        <v>3612039.9720000001</v>
      </c>
      <c r="H12" s="23">
        <f t="shared" si="3"/>
        <v>7440076.9010000005</v>
      </c>
      <c r="I12" s="23"/>
      <c r="J12" s="23">
        <f t="shared" si="3"/>
        <v>114287</v>
      </c>
      <c r="K12" s="24">
        <f>SUM(G12:J12)</f>
        <v>11166403.873</v>
      </c>
      <c r="L12" s="25">
        <f t="shared" ref="L12:M14" si="4">+B12-G12</f>
        <v>29739.027999999933</v>
      </c>
      <c r="M12" s="25">
        <f t="shared" si="4"/>
        <v>417045.09899999946</v>
      </c>
      <c r="N12" s="25"/>
      <c r="O12" s="25">
        <f>+E12-J12</f>
        <v>560793</v>
      </c>
      <c r="P12" s="26">
        <f>SUM(L12:O12)</f>
        <v>1007577.1269999994</v>
      </c>
      <c r="Q12" s="18"/>
    </row>
    <row r="13" spans="1:18" ht="12.75" customHeight="1">
      <c r="A13" s="23" t="s">
        <v>17</v>
      </c>
      <c r="B13" s="23">
        <f t="shared" si="2"/>
        <v>511765</v>
      </c>
      <c r="C13" s="23">
        <f t="shared" si="2"/>
        <v>1196</v>
      </c>
      <c r="D13" s="23"/>
      <c r="E13" s="23">
        <f t="shared" si="2"/>
        <v>0</v>
      </c>
      <c r="F13" s="24">
        <f>SUM(B13:E13)</f>
        <v>512961</v>
      </c>
      <c r="G13" s="23">
        <f t="shared" si="3"/>
        <v>475928.41899999999</v>
      </c>
      <c r="H13" s="23">
        <f t="shared" si="3"/>
        <v>0</v>
      </c>
      <c r="I13" s="23"/>
      <c r="J13" s="23">
        <f t="shared" si="3"/>
        <v>0</v>
      </c>
      <c r="K13" s="24">
        <f>SUM(G13:J13)</f>
        <v>475928.41899999999</v>
      </c>
      <c r="L13" s="25">
        <f t="shared" si="4"/>
        <v>35836.581000000006</v>
      </c>
      <c r="M13" s="25">
        <f t="shared" si="4"/>
        <v>1196</v>
      </c>
      <c r="N13" s="25"/>
      <c r="O13" s="25">
        <f>+E13-J13</f>
        <v>0</v>
      </c>
      <c r="P13" s="26">
        <f>SUM(L13:O13)</f>
        <v>37032.581000000006</v>
      </c>
      <c r="Q13" s="18"/>
    </row>
    <row r="14" spans="1:18" ht="12.75" customHeight="1">
      <c r="A14" s="22" t="s">
        <v>18</v>
      </c>
      <c r="B14" s="23">
        <f t="shared" si="2"/>
        <v>333679</v>
      </c>
      <c r="C14" s="23">
        <f t="shared" si="2"/>
        <v>63346</v>
      </c>
      <c r="D14" s="23"/>
      <c r="E14" s="23">
        <f t="shared" si="2"/>
        <v>0</v>
      </c>
      <c r="F14" s="24">
        <f>SUM(B14:E14)</f>
        <v>397025</v>
      </c>
      <c r="G14" s="23">
        <f t="shared" si="3"/>
        <v>277540.84499999997</v>
      </c>
      <c r="H14" s="23">
        <f t="shared" si="3"/>
        <v>172</v>
      </c>
      <c r="I14" s="23"/>
      <c r="J14" s="23">
        <f t="shared" si="3"/>
        <v>0</v>
      </c>
      <c r="K14" s="24">
        <f>SUM(G14:J14)</f>
        <v>277712.84499999997</v>
      </c>
      <c r="L14" s="25">
        <f t="shared" si="4"/>
        <v>56138.155000000028</v>
      </c>
      <c r="M14" s="25">
        <f t="shared" si="4"/>
        <v>63174</v>
      </c>
      <c r="N14" s="25"/>
      <c r="O14" s="25">
        <f>+E14-J14</f>
        <v>0</v>
      </c>
      <c r="P14" s="26">
        <f>SUM(L14:O14)</f>
        <v>119312.15500000003</v>
      </c>
      <c r="Q14" s="18"/>
    </row>
    <row r="15" spans="1:18" ht="12.75" customHeight="1">
      <c r="A15" s="22" t="s">
        <v>30</v>
      </c>
      <c r="B15" s="23">
        <f t="shared" ref="B15:P15" si="5">+B25+B98</f>
        <v>0</v>
      </c>
      <c r="C15" s="23">
        <f t="shared" si="5"/>
        <v>885530</v>
      </c>
      <c r="D15" s="23"/>
      <c r="E15" s="23">
        <f t="shared" si="5"/>
        <v>6921</v>
      </c>
      <c r="F15" s="23">
        <f t="shared" si="5"/>
        <v>892451</v>
      </c>
      <c r="G15" s="23">
        <f t="shared" si="5"/>
        <v>0</v>
      </c>
      <c r="H15" s="23">
        <f t="shared" si="5"/>
        <v>495172</v>
      </c>
      <c r="I15" s="23"/>
      <c r="J15" s="23">
        <f t="shared" si="5"/>
        <v>6343</v>
      </c>
      <c r="K15" s="23">
        <f t="shared" si="5"/>
        <v>501515</v>
      </c>
      <c r="L15" s="23">
        <f t="shared" si="5"/>
        <v>0</v>
      </c>
      <c r="M15" s="23">
        <f t="shared" si="5"/>
        <v>390358</v>
      </c>
      <c r="N15" s="23"/>
      <c r="O15" s="23">
        <f t="shared" si="5"/>
        <v>578</v>
      </c>
      <c r="P15" s="23">
        <f t="shared" si="5"/>
        <v>390936</v>
      </c>
      <c r="Q15" s="18"/>
    </row>
    <row r="16" spans="1:18" ht="12.75" customHeight="1">
      <c r="A16" s="22" t="s">
        <v>19</v>
      </c>
      <c r="B16" s="44">
        <f t="shared" ref="B16:P16" si="6">+B17+B18</f>
        <v>0</v>
      </c>
      <c r="C16" s="44">
        <f t="shared" si="6"/>
        <v>198818</v>
      </c>
      <c r="D16" s="44"/>
      <c r="E16" s="45">
        <f t="shared" si="6"/>
        <v>93187</v>
      </c>
      <c r="F16" s="44">
        <f t="shared" si="6"/>
        <v>292005</v>
      </c>
      <c r="G16" s="44">
        <f t="shared" si="6"/>
        <v>0</v>
      </c>
      <c r="H16" s="44">
        <f t="shared" si="6"/>
        <v>9688</v>
      </c>
      <c r="I16" s="44"/>
      <c r="J16" s="45">
        <f t="shared" si="6"/>
        <v>19846</v>
      </c>
      <c r="K16" s="44">
        <f t="shared" si="6"/>
        <v>29534</v>
      </c>
      <c r="L16" s="44">
        <f t="shared" si="6"/>
        <v>0</v>
      </c>
      <c r="M16" s="44">
        <f t="shared" si="6"/>
        <v>189130</v>
      </c>
      <c r="N16" s="44"/>
      <c r="O16" s="44">
        <f t="shared" si="6"/>
        <v>73341</v>
      </c>
      <c r="P16" s="45">
        <f t="shared" si="6"/>
        <v>262471</v>
      </c>
      <c r="Q16" s="18"/>
    </row>
    <row r="17" spans="1:18" ht="12.75" customHeight="1">
      <c r="A17" s="23" t="s">
        <v>20</v>
      </c>
      <c r="B17" s="23">
        <f t="shared" ref="B17:E18" si="7">+B27+B36+B45+B54+B63+B72+B81+B90+B100</f>
        <v>0</v>
      </c>
      <c r="C17" s="23">
        <f t="shared" si="7"/>
        <v>198818</v>
      </c>
      <c r="D17" s="23"/>
      <c r="E17" s="23">
        <f t="shared" si="7"/>
        <v>93187</v>
      </c>
      <c r="F17" s="24">
        <f>SUM(B17:E17)</f>
        <v>292005</v>
      </c>
      <c r="G17" s="23">
        <f t="shared" ref="G17:J18" si="8">+G27+G36+G45+G54+G63+G72+G81+G90+G100</f>
        <v>0</v>
      </c>
      <c r="H17" s="23">
        <f t="shared" si="8"/>
        <v>9688</v>
      </c>
      <c r="I17" s="23"/>
      <c r="J17" s="23">
        <f t="shared" si="8"/>
        <v>19846</v>
      </c>
      <c r="K17" s="24">
        <f>SUM(G17:J17)</f>
        <v>29534</v>
      </c>
      <c r="L17" s="25">
        <f>+B17-G17</f>
        <v>0</v>
      </c>
      <c r="M17" s="25">
        <f>+C17-H17</f>
        <v>189130</v>
      </c>
      <c r="N17" s="25"/>
      <c r="O17" s="25">
        <f>+E17-J17</f>
        <v>73341</v>
      </c>
      <c r="P17" s="26">
        <f>SUM(L17:O17)</f>
        <v>262471</v>
      </c>
      <c r="Q17" s="18"/>
    </row>
    <row r="18" spans="1:18" ht="12.75" customHeight="1">
      <c r="A18" s="23" t="s">
        <v>21</v>
      </c>
      <c r="B18" s="23">
        <f t="shared" si="7"/>
        <v>0</v>
      </c>
      <c r="C18" s="23">
        <f t="shared" si="7"/>
        <v>0</v>
      </c>
      <c r="D18" s="23"/>
      <c r="E18" s="23">
        <f t="shared" si="7"/>
        <v>0</v>
      </c>
      <c r="F18" s="24">
        <f>SUM(B18:E18)</f>
        <v>0</v>
      </c>
      <c r="G18" s="23">
        <f t="shared" si="8"/>
        <v>0</v>
      </c>
      <c r="H18" s="23">
        <f t="shared" si="8"/>
        <v>0</v>
      </c>
      <c r="I18" s="23"/>
      <c r="J18" s="23">
        <f t="shared" si="8"/>
        <v>0</v>
      </c>
      <c r="K18" s="24">
        <f>SUM(G18:J18)</f>
        <v>0</v>
      </c>
      <c r="L18" s="25">
        <f>+B18-G18</f>
        <v>0</v>
      </c>
      <c r="M18" s="25">
        <f>+C18-H18</f>
        <v>0</v>
      </c>
      <c r="N18" s="25"/>
      <c r="O18" s="25">
        <f>+E18-J18</f>
        <v>0</v>
      </c>
      <c r="P18" s="26">
        <f>SUM(L18:O18)</f>
        <v>0</v>
      </c>
      <c r="Q18" s="18"/>
    </row>
    <row r="19" spans="1:18" ht="12.75" customHeight="1">
      <c r="A19" s="22"/>
      <c r="B19" s="25"/>
      <c r="C19" s="25"/>
      <c r="D19" s="25"/>
      <c r="E19" s="43"/>
      <c r="F19" s="24"/>
      <c r="G19" s="47"/>
      <c r="H19" s="47"/>
      <c r="I19" s="47"/>
      <c r="J19" s="47"/>
      <c r="K19" s="32"/>
      <c r="L19" s="25"/>
      <c r="M19" s="25"/>
      <c r="N19" s="25"/>
      <c r="O19" s="25"/>
      <c r="P19" s="26"/>
      <c r="Q19" s="18"/>
    </row>
    <row r="20" spans="1:18" ht="12.75" customHeight="1">
      <c r="A20" s="33" t="s">
        <v>31</v>
      </c>
      <c r="B20" s="17">
        <f t="shared" ref="B20:K20" si="9">+B21+B25+B26</f>
        <v>1342418</v>
      </c>
      <c r="C20" s="17">
        <f t="shared" si="9"/>
        <v>4223253</v>
      </c>
      <c r="D20" s="17">
        <f t="shared" si="9"/>
        <v>0</v>
      </c>
      <c r="E20" s="17">
        <f t="shared" si="9"/>
        <v>35791</v>
      </c>
      <c r="F20" s="17">
        <f t="shared" si="9"/>
        <v>5601462</v>
      </c>
      <c r="G20" s="17">
        <f t="shared" si="9"/>
        <v>1303987</v>
      </c>
      <c r="H20" s="17">
        <f t="shared" si="9"/>
        <v>3861975</v>
      </c>
      <c r="I20" s="17"/>
      <c r="J20" s="17">
        <f t="shared" si="9"/>
        <v>35080</v>
      </c>
      <c r="K20" s="17">
        <f t="shared" si="9"/>
        <v>5201042</v>
      </c>
      <c r="L20" s="17">
        <f t="shared" ref="L20:P20" si="10">+L21+L25+L26</f>
        <v>38431</v>
      </c>
      <c r="M20" s="17">
        <f t="shared" si="10"/>
        <v>361278</v>
      </c>
      <c r="N20" s="17"/>
      <c r="O20" s="17">
        <f t="shared" si="10"/>
        <v>711</v>
      </c>
      <c r="P20" s="17">
        <f t="shared" si="10"/>
        <v>400420</v>
      </c>
      <c r="Q20" s="18">
        <f>+K20/F20</f>
        <v>0.92851509123868015</v>
      </c>
    </row>
    <row r="21" spans="1:18" ht="12.75" customHeight="1">
      <c r="A21" s="41" t="s">
        <v>15</v>
      </c>
      <c r="B21" s="20">
        <f t="shared" ref="B21:J21" si="11">+B22+B23+B24</f>
        <v>1342418</v>
      </c>
      <c r="C21" s="20">
        <f t="shared" si="11"/>
        <v>3553221</v>
      </c>
      <c r="D21" s="20">
        <f t="shared" si="11"/>
        <v>0</v>
      </c>
      <c r="E21" s="20">
        <f t="shared" si="11"/>
        <v>28390</v>
      </c>
      <c r="F21" s="20">
        <f t="shared" si="11"/>
        <v>4924029</v>
      </c>
      <c r="G21" s="20">
        <f t="shared" si="11"/>
        <v>1303987</v>
      </c>
      <c r="H21" s="20">
        <f t="shared" si="11"/>
        <v>3492268</v>
      </c>
      <c r="I21" s="20"/>
      <c r="J21" s="20">
        <f t="shared" si="11"/>
        <v>28390</v>
      </c>
      <c r="K21" s="20">
        <f>+K22+K23+K24</f>
        <v>4824645</v>
      </c>
      <c r="L21" s="20">
        <f>+L22+L23+L24</f>
        <v>38431</v>
      </c>
      <c r="M21" s="20">
        <f>+M22+M23+M24</f>
        <v>60953</v>
      </c>
      <c r="N21" s="20"/>
      <c r="O21" s="20">
        <f>+O22+O23+O24</f>
        <v>0</v>
      </c>
      <c r="P21" s="21">
        <f>+P22+P23+P24</f>
        <v>99384</v>
      </c>
      <c r="Q21" s="18"/>
      <c r="R21" s="52"/>
    </row>
    <row r="22" spans="1:18" ht="12.75" customHeight="1">
      <c r="A22" s="22" t="s">
        <v>16</v>
      </c>
      <c r="B22" s="29">
        <v>1033161</v>
      </c>
      <c r="C22" s="29">
        <v>3492268</v>
      </c>
      <c r="D22" s="29"/>
      <c r="E22" s="30">
        <v>28390</v>
      </c>
      <c r="F22" s="24">
        <f>SUM(B22:E22)</f>
        <v>4553819</v>
      </c>
      <c r="G22" s="29">
        <f>1215437-182276</f>
        <v>1033161</v>
      </c>
      <c r="H22" s="29">
        <f>3861975-369707</f>
        <v>3492268</v>
      </c>
      <c r="I22" s="29"/>
      <c r="J22" s="29">
        <f>34733-6343</f>
        <v>28390</v>
      </c>
      <c r="K22" s="24">
        <f>SUM(G22:J22)</f>
        <v>4553819</v>
      </c>
      <c r="L22" s="25">
        <f t="shared" ref="L22:M25" si="12">+B22-G22</f>
        <v>0</v>
      </c>
      <c r="M22" s="25">
        <f t="shared" si="12"/>
        <v>0</v>
      </c>
      <c r="N22" s="25"/>
      <c r="O22" s="25">
        <f>+E22-J22</f>
        <v>0</v>
      </c>
      <c r="P22" s="26">
        <f>SUM(L22:O22)</f>
        <v>0</v>
      </c>
      <c r="Q22" s="18"/>
    </row>
    <row r="23" spans="1:18" ht="12.75" customHeight="1">
      <c r="A23" s="23" t="s">
        <v>17</v>
      </c>
      <c r="B23" s="29">
        <f>189830-1447</f>
        <v>188383</v>
      </c>
      <c r="C23" s="29"/>
      <c r="D23" s="29"/>
      <c r="E23" s="30"/>
      <c r="F23" s="24">
        <f>SUM(B23:E23)</f>
        <v>188383</v>
      </c>
      <c r="G23" s="29">
        <v>182276</v>
      </c>
      <c r="H23" s="29"/>
      <c r="I23" s="29"/>
      <c r="J23" s="34"/>
      <c r="K23" s="24">
        <f>SUM(G23:J23)</f>
        <v>182276</v>
      </c>
      <c r="L23" s="25">
        <f t="shared" si="12"/>
        <v>6107</v>
      </c>
      <c r="M23" s="25">
        <f t="shared" si="12"/>
        <v>0</v>
      </c>
      <c r="N23" s="25"/>
      <c r="O23" s="25">
        <f>+E23-J23</f>
        <v>0</v>
      </c>
      <c r="P23" s="26">
        <f>SUM(L23:O23)</f>
        <v>6107</v>
      </c>
      <c r="Q23" s="18"/>
    </row>
    <row r="24" spans="1:18" ht="12.75" customHeight="1">
      <c r="A24" s="22" t="s">
        <v>18</v>
      </c>
      <c r="B24" s="29">
        <v>120874</v>
      </c>
      <c r="C24" s="29">
        <v>60953</v>
      </c>
      <c r="D24" s="29"/>
      <c r="E24" s="35"/>
      <c r="F24" s="24">
        <f>SUM(B24:E24)</f>
        <v>181827</v>
      </c>
      <c r="G24" s="29">
        <v>88550</v>
      </c>
      <c r="H24" s="29"/>
      <c r="I24" s="29"/>
      <c r="J24" s="34"/>
      <c r="K24" s="24">
        <f>SUM(G24:J24)</f>
        <v>88550</v>
      </c>
      <c r="L24" s="25">
        <f t="shared" si="12"/>
        <v>32324</v>
      </c>
      <c r="M24" s="25">
        <f t="shared" si="12"/>
        <v>60953</v>
      </c>
      <c r="N24" s="25"/>
      <c r="O24" s="25">
        <f>+E24-J24</f>
        <v>0</v>
      </c>
      <c r="P24" s="26">
        <f>SUM(L24:O24)</f>
        <v>93277</v>
      </c>
      <c r="Q24" s="18"/>
    </row>
    <row r="25" spans="1:18" ht="12.75" customHeight="1">
      <c r="A25" s="22" t="s">
        <v>30</v>
      </c>
      <c r="B25" s="29"/>
      <c r="C25" s="29">
        <v>617780</v>
      </c>
      <c r="D25" s="29"/>
      <c r="E25" s="30">
        <v>6921</v>
      </c>
      <c r="F25" s="24">
        <f>SUM(B25:E25)</f>
        <v>624701</v>
      </c>
      <c r="G25" s="29"/>
      <c r="H25" s="29">
        <v>369707</v>
      </c>
      <c r="I25" s="29"/>
      <c r="J25" s="29">
        <v>6343</v>
      </c>
      <c r="K25" s="24">
        <f>SUM(G25:J25)</f>
        <v>376050</v>
      </c>
      <c r="L25" s="25">
        <f t="shared" si="12"/>
        <v>0</v>
      </c>
      <c r="M25" s="25">
        <f t="shared" si="12"/>
        <v>248073</v>
      </c>
      <c r="N25" s="25"/>
      <c r="O25" s="25">
        <f>+E25-J25</f>
        <v>578</v>
      </c>
      <c r="P25" s="26">
        <f>SUM(L25:O25)</f>
        <v>248651</v>
      </c>
      <c r="Q25" s="18"/>
    </row>
    <row r="26" spans="1:18" ht="12.75" customHeight="1">
      <c r="A26" s="22" t="s">
        <v>19</v>
      </c>
      <c r="B26" s="27">
        <f t="shared" ref="B26:K26" si="13">+B27+B28</f>
        <v>0</v>
      </c>
      <c r="C26" s="27">
        <f t="shared" si="13"/>
        <v>52252</v>
      </c>
      <c r="D26" s="27">
        <f t="shared" si="13"/>
        <v>0</v>
      </c>
      <c r="E26" s="27">
        <f t="shared" si="13"/>
        <v>480</v>
      </c>
      <c r="F26" s="27">
        <f t="shared" si="13"/>
        <v>52732</v>
      </c>
      <c r="G26" s="27">
        <f t="shared" si="13"/>
        <v>0</v>
      </c>
      <c r="H26" s="27">
        <f t="shared" si="13"/>
        <v>0</v>
      </c>
      <c r="I26" s="27"/>
      <c r="J26" s="27">
        <f t="shared" si="13"/>
        <v>347</v>
      </c>
      <c r="K26" s="27">
        <f t="shared" si="13"/>
        <v>347</v>
      </c>
      <c r="L26" s="27">
        <f>+L27+L28</f>
        <v>0</v>
      </c>
      <c r="M26" s="27">
        <f>+M27+M28</f>
        <v>52252</v>
      </c>
      <c r="N26" s="27"/>
      <c r="O26" s="27">
        <f>+O27+O28</f>
        <v>133</v>
      </c>
      <c r="P26" s="28">
        <f>+P27+P28</f>
        <v>52385</v>
      </c>
      <c r="Q26" s="18"/>
    </row>
    <row r="27" spans="1:18" ht="12.75" customHeight="1">
      <c r="A27" s="23" t="s">
        <v>20</v>
      </c>
      <c r="B27" s="29"/>
      <c r="C27" s="29">
        <v>52252</v>
      </c>
      <c r="D27" s="29"/>
      <c r="E27" s="30">
        <v>480</v>
      </c>
      <c r="F27" s="24">
        <f>SUM(B27:E27)</f>
        <v>52732</v>
      </c>
      <c r="G27" s="29"/>
      <c r="H27" s="29"/>
      <c r="I27" s="29"/>
      <c r="J27" s="29">
        <v>347</v>
      </c>
      <c r="K27" s="24">
        <f>SUM(G27:J27)</f>
        <v>347</v>
      </c>
      <c r="L27" s="25">
        <f>+B27-G27</f>
        <v>0</v>
      </c>
      <c r="M27" s="25">
        <f>+C27-H27</f>
        <v>52252</v>
      </c>
      <c r="N27" s="25"/>
      <c r="O27" s="25">
        <f>+E27-J27</f>
        <v>133</v>
      </c>
      <c r="P27" s="26">
        <f>SUM(L27:O27)</f>
        <v>52385</v>
      </c>
      <c r="Q27" s="18"/>
    </row>
    <row r="28" spans="1:18" ht="12.75" customHeight="1">
      <c r="A28" s="23" t="s">
        <v>21</v>
      </c>
      <c r="B28" s="29"/>
      <c r="C28" s="29"/>
      <c r="D28" s="29"/>
      <c r="E28" s="30"/>
      <c r="F28" s="24">
        <f>SUM(B28:E28)</f>
        <v>0</v>
      </c>
      <c r="G28" s="29"/>
      <c r="H28" s="29"/>
      <c r="I28" s="29"/>
      <c r="J28" s="29"/>
      <c r="K28" s="24">
        <f>SUM(G28:J28)</f>
        <v>0</v>
      </c>
      <c r="L28" s="25">
        <f>+B28-G28</f>
        <v>0</v>
      </c>
      <c r="M28" s="25">
        <f>+C28-H28</f>
        <v>0</v>
      </c>
      <c r="N28" s="25"/>
      <c r="O28" s="25">
        <f>+E28-J28</f>
        <v>0</v>
      </c>
      <c r="P28" s="26">
        <f>SUM(L28:O28)</f>
        <v>0</v>
      </c>
      <c r="Q28" s="18"/>
    </row>
    <row r="29" spans="1:18" ht="12.75" customHeight="1">
      <c r="A29" s="33"/>
      <c r="B29" s="25"/>
      <c r="C29" s="25"/>
      <c r="D29" s="25"/>
      <c r="E29" s="43"/>
      <c r="F29" s="24"/>
      <c r="G29" s="25"/>
      <c r="H29" s="25"/>
      <c r="I29" s="25"/>
      <c r="J29" s="25"/>
      <c r="K29" s="24"/>
      <c r="L29" s="25"/>
      <c r="M29" s="25"/>
      <c r="N29" s="25"/>
      <c r="O29" s="25"/>
      <c r="P29" s="26"/>
      <c r="Q29" s="18"/>
    </row>
    <row r="30" spans="1:18" ht="12.75" customHeight="1">
      <c r="A30" s="33" t="s">
        <v>93</v>
      </c>
      <c r="B30" s="17">
        <f t="shared" ref="B30:K30" si="14">+B31+B35</f>
        <v>22462</v>
      </c>
      <c r="C30" s="17">
        <f t="shared" si="14"/>
        <v>8529</v>
      </c>
      <c r="D30" s="17">
        <f t="shared" si="14"/>
        <v>0</v>
      </c>
      <c r="E30" s="17">
        <f t="shared" si="14"/>
        <v>52</v>
      </c>
      <c r="F30" s="17">
        <f t="shared" si="14"/>
        <v>31043</v>
      </c>
      <c r="G30" s="17">
        <f t="shared" si="14"/>
        <v>19864</v>
      </c>
      <c r="H30" s="17">
        <f t="shared" si="14"/>
        <v>6974</v>
      </c>
      <c r="I30" s="17">
        <f t="shared" si="14"/>
        <v>0</v>
      </c>
      <c r="J30" s="17">
        <f t="shared" si="14"/>
        <v>0</v>
      </c>
      <c r="K30" s="17">
        <f t="shared" si="14"/>
        <v>26838</v>
      </c>
      <c r="L30" s="17">
        <f>+L31+L35</f>
        <v>2598</v>
      </c>
      <c r="M30" s="17">
        <f>+M31+M35</f>
        <v>1555</v>
      </c>
      <c r="N30" s="17"/>
      <c r="O30" s="17">
        <f>+O31+O35</f>
        <v>52</v>
      </c>
      <c r="P30" s="17">
        <f>+P31+P35</f>
        <v>4205</v>
      </c>
      <c r="Q30" s="18">
        <f>+K30/F30</f>
        <v>0.86454273105047841</v>
      </c>
    </row>
    <row r="31" spans="1:18" ht="12.75" customHeight="1">
      <c r="A31" s="41" t="s">
        <v>15</v>
      </c>
      <c r="B31" s="20">
        <f t="shared" ref="B31:K31" si="15">+B32+B33+B34</f>
        <v>22462</v>
      </c>
      <c r="C31" s="20">
        <f t="shared" si="15"/>
        <v>7749</v>
      </c>
      <c r="D31" s="20">
        <f t="shared" si="15"/>
        <v>0</v>
      </c>
      <c r="E31" s="20">
        <f t="shared" si="15"/>
        <v>0</v>
      </c>
      <c r="F31" s="20">
        <f t="shared" si="15"/>
        <v>30211</v>
      </c>
      <c r="G31" s="20">
        <f t="shared" si="15"/>
        <v>19864</v>
      </c>
      <c r="H31" s="20">
        <f t="shared" si="15"/>
        <v>6974</v>
      </c>
      <c r="I31" s="20">
        <f t="shared" si="15"/>
        <v>0</v>
      </c>
      <c r="J31" s="20">
        <f t="shared" si="15"/>
        <v>0</v>
      </c>
      <c r="K31" s="20">
        <f t="shared" si="15"/>
        <v>26838</v>
      </c>
      <c r="L31" s="20">
        <f>+L32+L33+L34</f>
        <v>2598</v>
      </c>
      <c r="M31" s="20">
        <f>+M32+M33+M34</f>
        <v>775</v>
      </c>
      <c r="N31" s="20"/>
      <c r="O31" s="20">
        <f>+O32+O33+O34</f>
        <v>0</v>
      </c>
      <c r="P31" s="21">
        <f>+P32+P33+P34</f>
        <v>3373</v>
      </c>
      <c r="Q31" s="18"/>
    </row>
    <row r="32" spans="1:18" ht="12.75" customHeight="1">
      <c r="A32" s="22" t="s">
        <v>16</v>
      </c>
      <c r="B32" s="29">
        <v>19188</v>
      </c>
      <c r="C32" s="29">
        <v>7749</v>
      </c>
      <c r="D32" s="29"/>
      <c r="E32" s="30"/>
      <c r="F32" s="24">
        <f>SUM(B32:E32)</f>
        <v>26937</v>
      </c>
      <c r="G32" s="29">
        <v>16857</v>
      </c>
      <c r="H32" s="24">
        <v>6974</v>
      </c>
      <c r="I32" s="24"/>
      <c r="J32" s="29"/>
      <c r="K32" s="24">
        <f>SUM(G32:J32)</f>
        <v>23831</v>
      </c>
      <c r="L32" s="25">
        <f t="shared" ref="L32:M34" si="16">+B32-G32</f>
        <v>2331</v>
      </c>
      <c r="M32" s="25">
        <f t="shared" si="16"/>
        <v>775</v>
      </c>
      <c r="N32" s="25"/>
      <c r="O32" s="25">
        <f>+E32-J32</f>
        <v>0</v>
      </c>
      <c r="P32" s="26">
        <f>SUM(L32:O32)</f>
        <v>3106</v>
      </c>
      <c r="Q32" s="18"/>
    </row>
    <row r="33" spans="1:17" ht="12.75" customHeight="1">
      <c r="A33" s="23" t="s">
        <v>17</v>
      </c>
      <c r="B33" s="29">
        <v>1519</v>
      </c>
      <c r="C33" s="34"/>
      <c r="D33" s="34"/>
      <c r="E33" s="30"/>
      <c r="F33" s="24">
        <f>SUM(B33:E33)</f>
        <v>1519</v>
      </c>
      <c r="G33" s="29">
        <v>1505</v>
      </c>
      <c r="H33" s="34"/>
      <c r="I33" s="34"/>
      <c r="J33" s="34"/>
      <c r="K33" s="24">
        <f>SUM(G33:J33)</f>
        <v>1505</v>
      </c>
      <c r="L33" s="25">
        <f t="shared" si="16"/>
        <v>14</v>
      </c>
      <c r="M33" s="25">
        <f t="shared" si="16"/>
        <v>0</v>
      </c>
      <c r="N33" s="25"/>
      <c r="O33" s="25">
        <f>+E33-J33</f>
        <v>0</v>
      </c>
      <c r="P33" s="26">
        <f>SUM(L33:O33)</f>
        <v>14</v>
      </c>
      <c r="Q33" s="18"/>
    </row>
    <row r="34" spans="1:17" ht="12.75" customHeight="1">
      <c r="A34" s="22" t="s">
        <v>18</v>
      </c>
      <c r="B34" s="29">
        <v>1755</v>
      </c>
      <c r="C34" s="34"/>
      <c r="D34" s="34"/>
      <c r="E34" s="35"/>
      <c r="F34" s="24">
        <f>SUM(B34:E34)</f>
        <v>1755</v>
      </c>
      <c r="G34" s="29">
        <v>1502</v>
      </c>
      <c r="H34" s="34"/>
      <c r="I34" s="34"/>
      <c r="J34" s="34"/>
      <c r="K34" s="24">
        <f>SUM(G34:J34)</f>
        <v>1502</v>
      </c>
      <c r="L34" s="25">
        <f t="shared" si="16"/>
        <v>253</v>
      </c>
      <c r="M34" s="25">
        <f t="shared" si="16"/>
        <v>0</v>
      </c>
      <c r="N34" s="25"/>
      <c r="O34" s="25">
        <f>+E34-J34</f>
        <v>0</v>
      </c>
      <c r="P34" s="26">
        <f>SUM(L34:O34)</f>
        <v>253</v>
      </c>
      <c r="Q34" s="18"/>
    </row>
    <row r="35" spans="1:17" ht="12.75" customHeight="1">
      <c r="A35" s="22" t="s">
        <v>19</v>
      </c>
      <c r="B35" s="27">
        <f t="shared" ref="B35:K35" si="17">+B36+B37</f>
        <v>0</v>
      </c>
      <c r="C35" s="27">
        <f t="shared" si="17"/>
        <v>780</v>
      </c>
      <c r="D35" s="27"/>
      <c r="E35" s="28">
        <f t="shared" si="17"/>
        <v>52</v>
      </c>
      <c r="F35" s="27">
        <f t="shared" si="17"/>
        <v>832</v>
      </c>
      <c r="G35" s="27">
        <f>+G36+G37</f>
        <v>0</v>
      </c>
      <c r="H35" s="27">
        <f>+H36+H37</f>
        <v>0</v>
      </c>
      <c r="I35" s="27"/>
      <c r="J35" s="27">
        <f>+J36+J37</f>
        <v>0</v>
      </c>
      <c r="K35" s="27">
        <f t="shared" si="17"/>
        <v>0</v>
      </c>
      <c r="L35" s="27">
        <f>+L36+L37</f>
        <v>0</v>
      </c>
      <c r="M35" s="27">
        <f>+M36+M37</f>
        <v>780</v>
      </c>
      <c r="N35" s="27"/>
      <c r="O35" s="27">
        <f>+O36+O37</f>
        <v>52</v>
      </c>
      <c r="P35" s="28">
        <f>+P36+P37</f>
        <v>832</v>
      </c>
      <c r="Q35" s="18"/>
    </row>
    <row r="36" spans="1:17" ht="12.75" customHeight="1">
      <c r="A36" s="23" t="s">
        <v>20</v>
      </c>
      <c r="B36" s="29"/>
      <c r="C36" s="29">
        <v>780</v>
      </c>
      <c r="D36" s="29"/>
      <c r="E36" s="30">
        <v>52</v>
      </c>
      <c r="F36" s="24">
        <f>SUM(B36:E36)</f>
        <v>832</v>
      </c>
      <c r="G36" s="29"/>
      <c r="H36" s="29"/>
      <c r="I36" s="29"/>
      <c r="J36" s="29"/>
      <c r="K36" s="24">
        <f>SUM(G36:J36)</f>
        <v>0</v>
      </c>
      <c r="L36" s="25">
        <f>+B36-G36</f>
        <v>0</v>
      </c>
      <c r="M36" s="25">
        <f>+C36-H36</f>
        <v>780</v>
      </c>
      <c r="N36" s="25"/>
      <c r="O36" s="25">
        <f>+E36-J36</f>
        <v>52</v>
      </c>
      <c r="P36" s="26">
        <f>SUM(L36:O36)</f>
        <v>832</v>
      </c>
      <c r="Q36" s="18"/>
    </row>
    <row r="37" spans="1:17" ht="12.75" customHeight="1">
      <c r="A37" s="23" t="s">
        <v>21</v>
      </c>
      <c r="B37" s="29"/>
      <c r="C37" s="29"/>
      <c r="D37" s="29"/>
      <c r="E37" s="30"/>
      <c r="F37" s="24">
        <f>SUM(B37:E37)</f>
        <v>0</v>
      </c>
      <c r="G37" s="29"/>
      <c r="H37" s="29"/>
      <c r="I37" s="29"/>
      <c r="J37" s="29"/>
      <c r="K37" s="24">
        <f>SUM(G37:J37)</f>
        <v>0</v>
      </c>
      <c r="L37" s="25">
        <f>+B37-G37</f>
        <v>0</v>
      </c>
      <c r="M37" s="25">
        <f>+C37-H37</f>
        <v>0</v>
      </c>
      <c r="N37" s="25"/>
      <c r="O37" s="25">
        <f>+E37-J37</f>
        <v>0</v>
      </c>
      <c r="P37" s="26">
        <f>SUM(L37:O37)</f>
        <v>0</v>
      </c>
      <c r="Q37" s="18"/>
    </row>
    <row r="38" spans="1:17" ht="12.75" customHeight="1">
      <c r="A38" s="33"/>
      <c r="B38" s="25"/>
      <c r="C38" s="25"/>
      <c r="D38" s="25"/>
      <c r="E38" s="43"/>
      <c r="F38" s="24"/>
      <c r="G38" s="25"/>
      <c r="H38" s="25"/>
      <c r="I38" s="25"/>
      <c r="J38" s="25"/>
      <c r="K38" s="24"/>
      <c r="L38" s="25"/>
      <c r="M38" s="25"/>
      <c r="N38" s="25"/>
      <c r="O38" s="25"/>
      <c r="P38" s="26"/>
      <c r="Q38" s="18"/>
    </row>
    <row r="39" spans="1:17" ht="12.75" customHeight="1">
      <c r="A39" s="215" t="s">
        <v>94</v>
      </c>
      <c r="B39" s="17">
        <f t="shared" ref="B39:F39" si="18">+B40+B44</f>
        <v>114793</v>
      </c>
      <c r="C39" s="17">
        <f t="shared" si="18"/>
        <v>66059</v>
      </c>
      <c r="D39" s="17">
        <f t="shared" si="18"/>
        <v>0</v>
      </c>
      <c r="E39" s="17">
        <f t="shared" si="18"/>
        <v>30679</v>
      </c>
      <c r="F39" s="17">
        <f t="shared" si="18"/>
        <v>211531</v>
      </c>
      <c r="G39" s="17">
        <f>+G40+G44</f>
        <v>114245</v>
      </c>
      <c r="H39" s="17">
        <f>+H40+H44</f>
        <v>54653</v>
      </c>
      <c r="I39" s="17"/>
      <c r="J39" s="17">
        <f>+J40+J44</f>
        <v>18568</v>
      </c>
      <c r="K39" s="17">
        <f t="shared" ref="K39" si="19">+K40+K44</f>
        <v>187466</v>
      </c>
      <c r="L39" s="17">
        <f>+L40+L44</f>
        <v>548</v>
      </c>
      <c r="M39" s="17">
        <f>+M40+M44</f>
        <v>11406</v>
      </c>
      <c r="N39" s="17"/>
      <c r="O39" s="17">
        <f>+O40+O44</f>
        <v>12111</v>
      </c>
      <c r="P39" s="17">
        <f>+P40+P44</f>
        <v>24065</v>
      </c>
      <c r="Q39" s="18">
        <f>+K39/F39</f>
        <v>0.88623416898705154</v>
      </c>
    </row>
    <row r="40" spans="1:17" ht="12.75" customHeight="1">
      <c r="A40" s="41" t="s">
        <v>15</v>
      </c>
      <c r="B40" s="20">
        <f t="shared" ref="B40:J40" si="20">+B41+B42+B43</f>
        <v>114793</v>
      </c>
      <c r="C40" s="20">
        <f t="shared" si="20"/>
        <v>63733</v>
      </c>
      <c r="D40" s="20">
        <f t="shared" si="20"/>
        <v>0</v>
      </c>
      <c r="E40" s="20">
        <f t="shared" si="20"/>
        <v>20186</v>
      </c>
      <c r="F40" s="20">
        <f t="shared" si="20"/>
        <v>198712</v>
      </c>
      <c r="G40" s="20">
        <f t="shared" si="20"/>
        <v>114245</v>
      </c>
      <c r="H40" s="20">
        <f t="shared" si="20"/>
        <v>52327</v>
      </c>
      <c r="I40" s="20"/>
      <c r="J40" s="20">
        <f t="shared" si="20"/>
        <v>13127</v>
      </c>
      <c r="K40" s="20">
        <f>+K41+K42+K43</f>
        <v>179699</v>
      </c>
      <c r="L40" s="20">
        <f>+L41+L42+L43</f>
        <v>548</v>
      </c>
      <c r="M40" s="20">
        <f>+M41+M42+M43</f>
        <v>11406</v>
      </c>
      <c r="N40" s="20"/>
      <c r="O40" s="20">
        <f>+O41+O42+O43</f>
        <v>7059</v>
      </c>
      <c r="P40" s="21">
        <f>+P41+P42+P43</f>
        <v>19013</v>
      </c>
      <c r="Q40" s="18"/>
    </row>
    <row r="41" spans="1:17" ht="12.75" customHeight="1">
      <c r="A41" s="22" t="s">
        <v>16</v>
      </c>
      <c r="B41" s="29">
        <v>97461</v>
      </c>
      <c r="C41" s="29">
        <v>63233</v>
      </c>
      <c r="D41" s="29"/>
      <c r="E41" s="30">
        <v>20186</v>
      </c>
      <c r="F41" s="24">
        <f>SUM(B41:E41)</f>
        <v>180880</v>
      </c>
      <c r="G41" s="29">
        <v>97066</v>
      </c>
      <c r="H41" s="29">
        <v>52155</v>
      </c>
      <c r="I41" s="29"/>
      <c r="J41" s="29">
        <v>13127</v>
      </c>
      <c r="K41" s="24">
        <f>SUM(G41:J41)</f>
        <v>162348</v>
      </c>
      <c r="L41" s="25">
        <f t="shared" ref="L41:M43" si="21">+B41-G41</f>
        <v>395</v>
      </c>
      <c r="M41" s="25">
        <f t="shared" si="21"/>
        <v>11078</v>
      </c>
      <c r="N41" s="25"/>
      <c r="O41" s="25">
        <f>+E41-J41</f>
        <v>7059</v>
      </c>
      <c r="P41" s="26">
        <f>SUM(L41:O41)</f>
        <v>18532</v>
      </c>
      <c r="Q41" s="18"/>
    </row>
    <row r="42" spans="1:17" ht="12.75" customHeight="1">
      <c r="A42" s="23" t="s">
        <v>17</v>
      </c>
      <c r="B42" s="29">
        <v>8201</v>
      </c>
      <c r="C42" s="34"/>
      <c r="D42" s="34"/>
      <c r="E42" s="30"/>
      <c r="F42" s="24">
        <f>SUM(B42:E42)</f>
        <v>8201</v>
      </c>
      <c r="G42" s="29">
        <f>2987+5180</f>
        <v>8167</v>
      </c>
      <c r="H42" s="29"/>
      <c r="I42" s="29"/>
      <c r="J42" s="34"/>
      <c r="K42" s="24">
        <f>SUM(G42:J42)</f>
        <v>8167</v>
      </c>
      <c r="L42" s="25">
        <f t="shared" si="21"/>
        <v>34</v>
      </c>
      <c r="M42" s="25">
        <f t="shared" si="21"/>
        <v>0</v>
      </c>
      <c r="N42" s="25"/>
      <c r="O42" s="25">
        <f>+E42-J42</f>
        <v>0</v>
      </c>
      <c r="P42" s="26">
        <f>SUM(L42:O42)</f>
        <v>34</v>
      </c>
      <c r="Q42" s="18"/>
    </row>
    <row r="43" spans="1:17" ht="12.75" customHeight="1">
      <c r="A43" s="22" t="s">
        <v>18</v>
      </c>
      <c r="B43" s="29">
        <v>9131</v>
      </c>
      <c r="C43" s="29">
        <v>500</v>
      </c>
      <c r="D43" s="34"/>
      <c r="E43" s="35"/>
      <c r="F43" s="24">
        <f>SUM(B43:E43)</f>
        <v>9631</v>
      </c>
      <c r="G43" s="29">
        <v>9012</v>
      </c>
      <c r="H43" s="29">
        <v>172</v>
      </c>
      <c r="I43" s="29"/>
      <c r="J43" s="34"/>
      <c r="K43" s="24">
        <f>SUM(G43:J43)</f>
        <v>9184</v>
      </c>
      <c r="L43" s="25">
        <f t="shared" si="21"/>
        <v>119</v>
      </c>
      <c r="M43" s="25">
        <f t="shared" si="21"/>
        <v>328</v>
      </c>
      <c r="N43" s="25"/>
      <c r="O43" s="25">
        <f>+E43-J43</f>
        <v>0</v>
      </c>
      <c r="P43" s="26">
        <f>SUM(L43:O43)</f>
        <v>447</v>
      </c>
      <c r="Q43" s="18"/>
    </row>
    <row r="44" spans="1:17" ht="12.75" customHeight="1">
      <c r="A44" s="22" t="s">
        <v>19</v>
      </c>
      <c r="B44" s="27">
        <f t="shared" ref="B44:F44" si="22">+B45+B46</f>
        <v>0</v>
      </c>
      <c r="C44" s="27">
        <f t="shared" si="22"/>
        <v>2326</v>
      </c>
      <c r="D44" s="27">
        <f t="shared" si="22"/>
        <v>0</v>
      </c>
      <c r="E44" s="27">
        <f t="shared" si="22"/>
        <v>10493</v>
      </c>
      <c r="F44" s="27">
        <f t="shared" si="22"/>
        <v>12819</v>
      </c>
      <c r="G44" s="27">
        <f>+G45+G46</f>
        <v>0</v>
      </c>
      <c r="H44" s="27">
        <f>+H45+H46</f>
        <v>2326</v>
      </c>
      <c r="I44" s="27"/>
      <c r="J44" s="27">
        <f>+J45+J46</f>
        <v>5441</v>
      </c>
      <c r="K44" s="27">
        <f t="shared" ref="K44" si="23">+K45+K46</f>
        <v>7767</v>
      </c>
      <c r="L44" s="27">
        <f>+L45+L46</f>
        <v>0</v>
      </c>
      <c r="M44" s="27">
        <f>+M45+M46</f>
        <v>0</v>
      </c>
      <c r="N44" s="27"/>
      <c r="O44" s="27">
        <f>+O45+O46</f>
        <v>5052</v>
      </c>
      <c r="P44" s="28">
        <f>+P45+P46</f>
        <v>5052</v>
      </c>
      <c r="Q44" s="18"/>
    </row>
    <row r="45" spans="1:17" ht="12.75" customHeight="1">
      <c r="A45" s="23" t="s">
        <v>20</v>
      </c>
      <c r="B45" s="29"/>
      <c r="C45" s="29">
        <v>2326</v>
      </c>
      <c r="D45" s="29"/>
      <c r="E45" s="30">
        <v>10493</v>
      </c>
      <c r="F45" s="24">
        <f>SUM(B45:E45)</f>
        <v>12819</v>
      </c>
      <c r="G45" s="29"/>
      <c r="H45" s="29">
        <f>5889+123-3686</f>
        <v>2326</v>
      </c>
      <c r="I45" s="29"/>
      <c r="J45" s="29">
        <f>1755+3686</f>
        <v>5441</v>
      </c>
      <c r="K45" s="24">
        <f>SUM(G45:J45)</f>
        <v>7767</v>
      </c>
      <c r="L45" s="25">
        <f>+B45-G45</f>
        <v>0</v>
      </c>
      <c r="M45" s="25">
        <f>+C45-H45</f>
        <v>0</v>
      </c>
      <c r="N45" s="25"/>
      <c r="O45" s="25">
        <f>+E45-J45</f>
        <v>5052</v>
      </c>
      <c r="P45" s="26">
        <f>SUM(L45:O45)</f>
        <v>5052</v>
      </c>
      <c r="Q45" s="18"/>
    </row>
    <row r="46" spans="1:17" ht="12.75" customHeight="1">
      <c r="A46" s="23" t="s">
        <v>21</v>
      </c>
      <c r="B46" s="29"/>
      <c r="C46" s="29"/>
      <c r="D46" s="29"/>
      <c r="E46" s="30"/>
      <c r="F46" s="24">
        <f>SUM(B46:E46)</f>
        <v>0</v>
      </c>
      <c r="G46" s="29"/>
      <c r="H46" s="29"/>
      <c r="I46" s="29"/>
      <c r="J46" s="29"/>
      <c r="K46" s="24">
        <f>SUM(G46:J46)</f>
        <v>0</v>
      </c>
      <c r="L46" s="25">
        <f>+B46-G46</f>
        <v>0</v>
      </c>
      <c r="M46" s="25">
        <f>+C46-H46</f>
        <v>0</v>
      </c>
      <c r="N46" s="25"/>
      <c r="O46" s="25">
        <f>+E46-J46</f>
        <v>0</v>
      </c>
      <c r="P46" s="26">
        <f>SUM(L46:O46)</f>
        <v>0</v>
      </c>
      <c r="Q46" s="18"/>
    </row>
    <row r="47" spans="1:17" ht="12.75" customHeight="1">
      <c r="A47" s="33"/>
      <c r="B47" s="25"/>
      <c r="C47" s="25"/>
      <c r="D47" s="25"/>
      <c r="E47" s="43"/>
      <c r="F47" s="24"/>
      <c r="G47" s="47"/>
      <c r="H47" s="47"/>
      <c r="I47" s="47"/>
      <c r="J47" s="47"/>
      <c r="K47" s="32"/>
      <c r="L47" s="25"/>
      <c r="M47" s="25"/>
      <c r="N47" s="25"/>
      <c r="O47" s="25"/>
      <c r="P47" s="26"/>
      <c r="Q47" s="18"/>
    </row>
    <row r="48" spans="1:17" ht="12.75" customHeight="1">
      <c r="A48" s="215" t="s">
        <v>95</v>
      </c>
      <c r="B48" s="17">
        <f t="shared" ref="B48:F48" si="24">+B49+B53</f>
        <v>703941</v>
      </c>
      <c r="C48" s="17">
        <f t="shared" si="24"/>
        <v>142964</v>
      </c>
      <c r="D48" s="17">
        <f t="shared" si="24"/>
        <v>0</v>
      </c>
      <c r="E48" s="17">
        <f t="shared" si="24"/>
        <v>4757</v>
      </c>
      <c r="F48" s="17">
        <f t="shared" si="24"/>
        <v>851662</v>
      </c>
      <c r="G48" s="17">
        <f>+G49+G53</f>
        <v>703551</v>
      </c>
      <c r="H48" s="17">
        <f>+H49+H53</f>
        <v>142837</v>
      </c>
      <c r="I48" s="17"/>
      <c r="J48" s="17">
        <f>+J49+J53</f>
        <v>4742</v>
      </c>
      <c r="K48" s="17">
        <f t="shared" ref="K48" si="25">+K49+K53</f>
        <v>851130</v>
      </c>
      <c r="L48" s="17">
        <f>+L49+L53</f>
        <v>390</v>
      </c>
      <c r="M48" s="17">
        <f>+M49+M53</f>
        <v>127</v>
      </c>
      <c r="N48" s="17"/>
      <c r="O48" s="17">
        <f>+O49+O53</f>
        <v>15</v>
      </c>
      <c r="P48" s="17">
        <f>+P49+P53</f>
        <v>532</v>
      </c>
      <c r="Q48" s="18">
        <f>+K48/F48</f>
        <v>0.99937533904295361</v>
      </c>
    </row>
    <row r="49" spans="1:17" ht="12.75" customHeight="1">
      <c r="A49" s="41" t="s">
        <v>15</v>
      </c>
      <c r="B49" s="20">
        <f t="shared" ref="B49:J49" si="26">+B50+B51+B52</f>
        <v>703941</v>
      </c>
      <c r="C49" s="20">
        <f t="shared" si="26"/>
        <v>142837</v>
      </c>
      <c r="D49" s="20">
        <f t="shared" si="26"/>
        <v>0</v>
      </c>
      <c r="E49" s="20">
        <f t="shared" si="26"/>
        <v>4753</v>
      </c>
      <c r="F49" s="20">
        <f t="shared" si="26"/>
        <v>851531</v>
      </c>
      <c r="G49" s="20">
        <f t="shared" si="26"/>
        <v>703551</v>
      </c>
      <c r="H49" s="20">
        <f t="shared" si="26"/>
        <v>142837</v>
      </c>
      <c r="I49" s="20"/>
      <c r="J49" s="20">
        <f t="shared" si="26"/>
        <v>4742</v>
      </c>
      <c r="K49" s="20">
        <f>+K50+K51+K52</f>
        <v>851130</v>
      </c>
      <c r="L49" s="20">
        <f>+L50+L51+L52</f>
        <v>390</v>
      </c>
      <c r="M49" s="20">
        <f>+M50+M51+M52</f>
        <v>0</v>
      </c>
      <c r="N49" s="20"/>
      <c r="O49" s="20">
        <f>+O50+O51+O52</f>
        <v>11</v>
      </c>
      <c r="P49" s="21">
        <f>+P50+P51+P52</f>
        <v>401</v>
      </c>
      <c r="Q49" s="18"/>
    </row>
    <row r="50" spans="1:17" ht="12.75" customHeight="1">
      <c r="A50" s="22" t="s">
        <v>16</v>
      </c>
      <c r="B50" s="29">
        <v>517934</v>
      </c>
      <c r="C50" s="29">
        <v>142837</v>
      </c>
      <c r="D50" s="29"/>
      <c r="E50" s="30">
        <v>4753</v>
      </c>
      <c r="F50" s="24">
        <f>SUM(B50:E50)</f>
        <v>665524</v>
      </c>
      <c r="G50" s="29">
        <f>518546-612</f>
        <v>517934</v>
      </c>
      <c r="H50" s="29">
        <v>142837</v>
      </c>
      <c r="I50" s="29"/>
      <c r="J50" s="29">
        <v>4742</v>
      </c>
      <c r="K50" s="24">
        <f>SUM(G50:J50)</f>
        <v>665513</v>
      </c>
      <c r="L50" s="25">
        <f t="shared" ref="L50:M52" si="27">+B50-G50</f>
        <v>0</v>
      </c>
      <c r="M50" s="25">
        <f t="shared" si="27"/>
        <v>0</v>
      </c>
      <c r="N50" s="25"/>
      <c r="O50" s="25">
        <f>+E50-J50</f>
        <v>11</v>
      </c>
      <c r="P50" s="26">
        <f>SUM(L50:O50)</f>
        <v>11</v>
      </c>
      <c r="Q50" s="18"/>
    </row>
    <row r="51" spans="1:17" ht="12.75" customHeight="1">
      <c r="A51" s="23" t="s">
        <v>17</v>
      </c>
      <c r="B51" s="29">
        <f>150662+1447</f>
        <v>152109</v>
      </c>
      <c r="C51" s="34"/>
      <c r="D51" s="34"/>
      <c r="E51" s="30"/>
      <c r="F51" s="24">
        <f>SUM(B51:E51)</f>
        <v>152109</v>
      </c>
      <c r="G51" s="29">
        <f>151920+189</f>
        <v>152109</v>
      </c>
      <c r="H51" s="34"/>
      <c r="I51" s="34"/>
      <c r="J51" s="34"/>
      <c r="K51" s="24">
        <f>SUM(G51:J51)</f>
        <v>152109</v>
      </c>
      <c r="L51" s="25">
        <f t="shared" si="27"/>
        <v>0</v>
      </c>
      <c r="M51" s="25">
        <f t="shared" si="27"/>
        <v>0</v>
      </c>
      <c r="N51" s="25"/>
      <c r="O51" s="25">
        <f>+E51-J51</f>
        <v>0</v>
      </c>
      <c r="P51" s="26">
        <f>SUM(L51:O51)</f>
        <v>0</v>
      </c>
      <c r="Q51" s="18"/>
    </row>
    <row r="52" spans="1:17" ht="12.75" customHeight="1">
      <c r="A52" s="22" t="s">
        <v>18</v>
      </c>
      <c r="B52" s="29">
        <v>33898</v>
      </c>
      <c r="C52" s="34"/>
      <c r="D52" s="34"/>
      <c r="E52" s="35"/>
      <c r="F52" s="24">
        <f>SUM(B52:E52)</f>
        <v>33898</v>
      </c>
      <c r="G52" s="29">
        <f>33085+423</f>
        <v>33508</v>
      </c>
      <c r="H52" s="34"/>
      <c r="I52" s="34"/>
      <c r="J52" s="34"/>
      <c r="K52" s="24">
        <f>SUM(G52:J52)</f>
        <v>33508</v>
      </c>
      <c r="L52" s="25">
        <f t="shared" si="27"/>
        <v>390</v>
      </c>
      <c r="M52" s="25">
        <f t="shared" si="27"/>
        <v>0</v>
      </c>
      <c r="N52" s="25"/>
      <c r="O52" s="25">
        <f>+E52-J52</f>
        <v>0</v>
      </c>
      <c r="P52" s="26">
        <f>SUM(L52:O52)</f>
        <v>390</v>
      </c>
      <c r="Q52" s="18"/>
    </row>
    <row r="53" spans="1:17" ht="12.75" customHeight="1">
      <c r="A53" s="22" t="s">
        <v>19</v>
      </c>
      <c r="B53" s="27">
        <f t="shared" ref="B53:F53" si="28">+B54+B55</f>
        <v>0</v>
      </c>
      <c r="C53" s="27">
        <f t="shared" si="28"/>
        <v>127</v>
      </c>
      <c r="D53" s="27">
        <f t="shared" si="28"/>
        <v>0</v>
      </c>
      <c r="E53" s="27">
        <f t="shared" si="28"/>
        <v>4</v>
      </c>
      <c r="F53" s="27">
        <f t="shared" si="28"/>
        <v>131</v>
      </c>
      <c r="G53" s="27">
        <f>+G54+G55</f>
        <v>0</v>
      </c>
      <c r="H53" s="27">
        <f>+H54+H55</f>
        <v>0</v>
      </c>
      <c r="I53" s="27"/>
      <c r="J53" s="27">
        <f>+J54+J55</f>
        <v>0</v>
      </c>
      <c r="K53" s="27">
        <f t="shared" ref="K53" si="29">+K54+K55</f>
        <v>0</v>
      </c>
      <c r="L53" s="27">
        <f>+L54+L55</f>
        <v>0</v>
      </c>
      <c r="M53" s="27">
        <f>+M54+M55</f>
        <v>127</v>
      </c>
      <c r="N53" s="27"/>
      <c r="O53" s="27">
        <f>+O54+O55</f>
        <v>4</v>
      </c>
      <c r="P53" s="28">
        <f>+P54+P55</f>
        <v>131</v>
      </c>
      <c r="Q53" s="18"/>
    </row>
    <row r="54" spans="1:17" ht="12.75" customHeight="1">
      <c r="A54" s="23" t="s">
        <v>20</v>
      </c>
      <c r="B54" s="29"/>
      <c r="C54" s="29">
        <v>127</v>
      </c>
      <c r="D54" s="29"/>
      <c r="E54" s="30">
        <v>4</v>
      </c>
      <c r="F54" s="24">
        <f>SUM(B54:E54)</f>
        <v>131</v>
      </c>
      <c r="G54" s="29"/>
      <c r="H54" s="29"/>
      <c r="I54" s="29"/>
      <c r="J54" s="29"/>
      <c r="K54" s="24">
        <f>SUM(G54:J54)</f>
        <v>0</v>
      </c>
      <c r="L54" s="25">
        <f>+B54-G54</f>
        <v>0</v>
      </c>
      <c r="M54" s="25">
        <f>+C54-H54</f>
        <v>127</v>
      </c>
      <c r="N54" s="25"/>
      <c r="O54" s="25">
        <f>+E54-J54</f>
        <v>4</v>
      </c>
      <c r="P54" s="26">
        <f>SUM(L54:O54)</f>
        <v>131</v>
      </c>
      <c r="Q54" s="18"/>
    </row>
    <row r="55" spans="1:17" ht="12.75" customHeight="1">
      <c r="A55" s="23" t="s">
        <v>21</v>
      </c>
      <c r="B55" s="29"/>
      <c r="C55" s="29"/>
      <c r="D55" s="29"/>
      <c r="E55" s="30"/>
      <c r="F55" s="24">
        <f>SUM(B55:E55)</f>
        <v>0</v>
      </c>
      <c r="G55" s="29"/>
      <c r="H55" s="29"/>
      <c r="I55" s="29"/>
      <c r="J55" s="29"/>
      <c r="K55" s="24">
        <f>SUM(G55:J55)</f>
        <v>0</v>
      </c>
      <c r="L55" s="25">
        <f>+B55-G55</f>
        <v>0</v>
      </c>
      <c r="M55" s="25">
        <f>+C55-H55</f>
        <v>0</v>
      </c>
      <c r="N55" s="25"/>
      <c r="O55" s="25">
        <f>+E55-J55</f>
        <v>0</v>
      </c>
      <c r="P55" s="26">
        <f>SUM(L55:O55)</f>
        <v>0</v>
      </c>
      <c r="Q55" s="18"/>
    </row>
    <row r="56" spans="1:17" ht="12.75" customHeight="1">
      <c r="A56" s="217"/>
      <c r="B56" s="44"/>
      <c r="C56" s="44"/>
      <c r="D56" s="44"/>
      <c r="E56" s="45"/>
      <c r="F56" s="77"/>
      <c r="G56" s="84"/>
      <c r="H56" s="84"/>
      <c r="I56" s="84"/>
      <c r="J56" s="84"/>
      <c r="K56" s="82"/>
      <c r="L56" s="44"/>
      <c r="M56" s="44"/>
      <c r="N56" s="44"/>
      <c r="O56" s="44"/>
      <c r="P56" s="75"/>
      <c r="Q56" s="76"/>
    </row>
    <row r="57" spans="1:17" ht="12.75" customHeight="1">
      <c r="A57" s="33" t="s">
        <v>96</v>
      </c>
      <c r="B57" s="17">
        <f t="shared" ref="B57:K57" si="30">+B58+B62</f>
        <v>34061</v>
      </c>
      <c r="C57" s="17">
        <f t="shared" si="30"/>
        <v>39370</v>
      </c>
      <c r="D57" s="17">
        <f t="shared" si="30"/>
        <v>0</v>
      </c>
      <c r="E57" s="17">
        <f t="shared" si="30"/>
        <v>28885</v>
      </c>
      <c r="F57" s="17">
        <f t="shared" si="30"/>
        <v>102316</v>
      </c>
      <c r="G57" s="17">
        <f t="shared" si="30"/>
        <v>29393</v>
      </c>
      <c r="H57" s="17">
        <f t="shared" si="30"/>
        <v>26144</v>
      </c>
      <c r="I57" s="17">
        <f t="shared" si="30"/>
        <v>0</v>
      </c>
      <c r="J57" s="17">
        <f t="shared" si="30"/>
        <v>13397</v>
      </c>
      <c r="K57" s="17">
        <f t="shared" si="30"/>
        <v>68934</v>
      </c>
      <c r="L57" s="17">
        <f>+L58+L62</f>
        <v>4668</v>
      </c>
      <c r="M57" s="17">
        <f>+M58+M62</f>
        <v>13226</v>
      </c>
      <c r="N57" s="17"/>
      <c r="O57" s="17">
        <f>+O58+O62</f>
        <v>15488</v>
      </c>
      <c r="P57" s="17">
        <f>+P58+P62</f>
        <v>33382</v>
      </c>
      <c r="Q57" s="18">
        <f>+K57/F57</f>
        <v>0.6737362680323703</v>
      </c>
    </row>
    <row r="58" spans="1:17" ht="12.75" customHeight="1">
      <c r="A58" s="41" t="s">
        <v>15</v>
      </c>
      <c r="B58" s="20">
        <f t="shared" ref="B58:K58" si="31">+B59+B60+B61</f>
        <v>34061</v>
      </c>
      <c r="C58" s="20">
        <f t="shared" si="31"/>
        <v>33742</v>
      </c>
      <c r="D58" s="20">
        <f t="shared" si="31"/>
        <v>0</v>
      </c>
      <c r="E58" s="20">
        <f t="shared" si="31"/>
        <v>9500</v>
      </c>
      <c r="F58" s="20">
        <f t="shared" si="31"/>
        <v>77303</v>
      </c>
      <c r="G58" s="20">
        <f t="shared" si="31"/>
        <v>29393</v>
      </c>
      <c r="H58" s="20">
        <f t="shared" si="31"/>
        <v>20517</v>
      </c>
      <c r="I58" s="20">
        <f t="shared" si="31"/>
        <v>0</v>
      </c>
      <c r="J58" s="20">
        <f t="shared" si="31"/>
        <v>85</v>
      </c>
      <c r="K58" s="20">
        <f t="shared" si="31"/>
        <v>49995</v>
      </c>
      <c r="L58" s="20">
        <f>+L59+L60+L61</f>
        <v>4668</v>
      </c>
      <c r="M58" s="20">
        <f>+M59+M60+M61</f>
        <v>13225</v>
      </c>
      <c r="N58" s="20"/>
      <c r="O58" s="20">
        <f>+O59+O60+O61</f>
        <v>9415</v>
      </c>
      <c r="P58" s="21">
        <f>+P59+P60+P61</f>
        <v>27308</v>
      </c>
      <c r="Q58" s="18"/>
    </row>
    <row r="59" spans="1:17" ht="12.75" customHeight="1">
      <c r="A59" s="22" t="s">
        <v>16</v>
      </c>
      <c r="B59" s="29">
        <v>30592</v>
      </c>
      <c r="C59" s="29">
        <v>33742</v>
      </c>
      <c r="D59" s="29"/>
      <c r="E59" s="30">
        <v>9500</v>
      </c>
      <c r="F59" s="24">
        <f>SUM(B59:E59)</f>
        <v>73834</v>
      </c>
      <c r="G59" s="29">
        <v>26532</v>
      </c>
      <c r="H59" s="29">
        <v>20517</v>
      </c>
      <c r="I59" s="29"/>
      <c r="J59" s="29">
        <v>85</v>
      </c>
      <c r="K59" s="24">
        <f>SUM(G59:J59)</f>
        <v>47134</v>
      </c>
      <c r="L59" s="25">
        <f t="shared" ref="L59:M61" si="32">+B59-G59</f>
        <v>4060</v>
      </c>
      <c r="M59" s="25">
        <f t="shared" si="32"/>
        <v>13225</v>
      </c>
      <c r="N59" s="25"/>
      <c r="O59" s="25">
        <f>+E59-J59</f>
        <v>9415</v>
      </c>
      <c r="P59" s="26">
        <f>SUM(L59:O59)</f>
        <v>26700</v>
      </c>
      <c r="Q59" s="18"/>
    </row>
    <row r="60" spans="1:17" ht="12.75" customHeight="1">
      <c r="A60" s="23" t="s">
        <v>17</v>
      </c>
      <c r="B60" s="29">
        <v>898</v>
      </c>
      <c r="C60" s="34"/>
      <c r="D60" s="34"/>
      <c r="E60" s="30"/>
      <c r="F60" s="24">
        <f>SUM(B60:E60)</f>
        <v>898</v>
      </c>
      <c r="G60" s="29">
        <v>865</v>
      </c>
      <c r="H60" s="34"/>
      <c r="I60" s="34"/>
      <c r="J60" s="34"/>
      <c r="K60" s="24">
        <f>SUM(G60:J60)</f>
        <v>865</v>
      </c>
      <c r="L60" s="25">
        <f t="shared" si="32"/>
        <v>33</v>
      </c>
      <c r="M60" s="25">
        <f t="shared" si="32"/>
        <v>0</v>
      </c>
      <c r="N60" s="25"/>
      <c r="O60" s="25">
        <f>+E60-J60</f>
        <v>0</v>
      </c>
      <c r="P60" s="26">
        <f>SUM(L60:O60)</f>
        <v>33</v>
      </c>
      <c r="Q60" s="18"/>
    </row>
    <row r="61" spans="1:17" ht="12.75" customHeight="1">
      <c r="A61" s="22" t="s">
        <v>18</v>
      </c>
      <c r="B61" s="29">
        <v>2571</v>
      </c>
      <c r="C61" s="34"/>
      <c r="D61" s="34"/>
      <c r="E61" s="35"/>
      <c r="F61" s="24">
        <f>SUM(B61:E61)</f>
        <v>2571</v>
      </c>
      <c r="G61" s="29">
        <v>1996</v>
      </c>
      <c r="H61" s="34"/>
      <c r="I61" s="34"/>
      <c r="J61" s="34"/>
      <c r="K61" s="24">
        <f>SUM(G61:J61)</f>
        <v>1996</v>
      </c>
      <c r="L61" s="25">
        <f t="shared" si="32"/>
        <v>575</v>
      </c>
      <c r="M61" s="25">
        <f t="shared" si="32"/>
        <v>0</v>
      </c>
      <c r="N61" s="25"/>
      <c r="O61" s="25">
        <f>+E61-J61</f>
        <v>0</v>
      </c>
      <c r="P61" s="26">
        <f>SUM(L61:O61)</f>
        <v>575</v>
      </c>
      <c r="Q61" s="18"/>
    </row>
    <row r="62" spans="1:17" ht="12.75" customHeight="1">
      <c r="A62" s="22" t="s">
        <v>19</v>
      </c>
      <c r="B62" s="27">
        <f t="shared" ref="B62:K62" si="33">+B63+B64</f>
        <v>0</v>
      </c>
      <c r="C62" s="27">
        <f t="shared" si="33"/>
        <v>5628</v>
      </c>
      <c r="D62" s="27">
        <f t="shared" si="33"/>
        <v>0</v>
      </c>
      <c r="E62" s="27">
        <f t="shared" si="33"/>
        <v>19385</v>
      </c>
      <c r="F62" s="27">
        <f t="shared" si="33"/>
        <v>25013</v>
      </c>
      <c r="G62" s="27">
        <f t="shared" si="33"/>
        <v>0</v>
      </c>
      <c r="H62" s="27">
        <f t="shared" si="33"/>
        <v>5627</v>
      </c>
      <c r="I62" s="27">
        <f t="shared" si="33"/>
        <v>0</v>
      </c>
      <c r="J62" s="27">
        <f t="shared" si="33"/>
        <v>13312</v>
      </c>
      <c r="K62" s="27">
        <f t="shared" si="33"/>
        <v>18939</v>
      </c>
      <c r="L62" s="27">
        <f>+L63+L64</f>
        <v>0</v>
      </c>
      <c r="M62" s="27">
        <f>+M63+M64</f>
        <v>1</v>
      </c>
      <c r="N62" s="27"/>
      <c r="O62" s="27">
        <f>+O63+O64</f>
        <v>6073</v>
      </c>
      <c r="P62" s="28">
        <f>+P63+P64</f>
        <v>6074</v>
      </c>
      <c r="Q62" s="18"/>
    </row>
    <row r="63" spans="1:17" ht="12.75" customHeight="1">
      <c r="A63" s="23" t="s">
        <v>20</v>
      </c>
      <c r="B63" s="29"/>
      <c r="C63" s="29">
        <v>5628</v>
      </c>
      <c r="D63" s="29"/>
      <c r="E63" s="30">
        <v>19385</v>
      </c>
      <c r="F63" s="24">
        <f>SUM(B63:E63)</f>
        <v>25013</v>
      </c>
      <c r="G63" s="29"/>
      <c r="H63" s="29">
        <v>5627</v>
      </c>
      <c r="I63" s="29"/>
      <c r="J63" s="29">
        <v>13312</v>
      </c>
      <c r="K63" s="24">
        <f>SUM(G63:J63)</f>
        <v>18939</v>
      </c>
      <c r="L63" s="25">
        <f>+B63-G63</f>
        <v>0</v>
      </c>
      <c r="M63" s="25">
        <f>+C63-H63</f>
        <v>1</v>
      </c>
      <c r="N63" s="25"/>
      <c r="O63" s="25">
        <f>+E63-J63</f>
        <v>6073</v>
      </c>
      <c r="P63" s="26">
        <f>SUM(L63:O63)</f>
        <v>6074</v>
      </c>
      <c r="Q63" s="18"/>
    </row>
    <row r="64" spans="1:17" ht="12.75" customHeight="1">
      <c r="A64" s="23" t="s">
        <v>21</v>
      </c>
      <c r="B64" s="29"/>
      <c r="C64" s="29"/>
      <c r="D64" s="29"/>
      <c r="E64" s="30"/>
      <c r="F64" s="24">
        <f>SUM(B64:E64)</f>
        <v>0</v>
      </c>
      <c r="G64" s="29"/>
      <c r="H64" s="29"/>
      <c r="I64" s="29"/>
      <c r="J64" s="29"/>
      <c r="K64" s="24">
        <f>SUM(G64:J64)</f>
        <v>0</v>
      </c>
      <c r="L64" s="25">
        <f>+B64-G64</f>
        <v>0</v>
      </c>
      <c r="M64" s="25">
        <f>+C64-H64</f>
        <v>0</v>
      </c>
      <c r="N64" s="25"/>
      <c r="O64" s="25">
        <f>+E64-J64</f>
        <v>0</v>
      </c>
      <c r="P64" s="26">
        <f>SUM(L64:O64)</f>
        <v>0</v>
      </c>
      <c r="Q64" s="18"/>
    </row>
    <row r="65" spans="1:17" ht="12.75" customHeight="1">
      <c r="A65" s="33"/>
      <c r="B65" s="25"/>
      <c r="C65" s="25"/>
      <c r="D65" s="25"/>
      <c r="E65" s="43"/>
      <c r="F65" s="24"/>
      <c r="G65" s="25"/>
      <c r="H65" s="25"/>
      <c r="I65" s="25"/>
      <c r="J65" s="25"/>
      <c r="K65" s="24"/>
      <c r="L65" s="25"/>
      <c r="M65" s="25"/>
      <c r="N65" s="25"/>
      <c r="O65" s="25"/>
      <c r="P65" s="26"/>
      <c r="Q65" s="18"/>
    </row>
    <row r="66" spans="1:17" ht="12.75" customHeight="1">
      <c r="A66" s="215" t="s">
        <v>97</v>
      </c>
      <c r="B66" s="17">
        <f t="shared" ref="B66:F66" si="34">+B67+B71</f>
        <v>112909</v>
      </c>
      <c r="C66" s="17">
        <f t="shared" si="34"/>
        <v>58489</v>
      </c>
      <c r="D66" s="17">
        <f t="shared" si="34"/>
        <v>0</v>
      </c>
      <c r="E66" s="17">
        <f t="shared" si="34"/>
        <v>4000</v>
      </c>
      <c r="F66" s="17">
        <f t="shared" si="34"/>
        <v>175398</v>
      </c>
      <c r="G66" s="17">
        <f>+G67+G71</f>
        <v>110415</v>
      </c>
      <c r="H66" s="17">
        <f>+H67+H71</f>
        <v>55080</v>
      </c>
      <c r="I66" s="17"/>
      <c r="J66" s="17">
        <f>+J67+J71</f>
        <v>3978</v>
      </c>
      <c r="K66" s="17">
        <f t="shared" ref="K66" si="35">+K67+K71</f>
        <v>169473</v>
      </c>
      <c r="L66" s="17">
        <f>+L67+L71</f>
        <v>2494</v>
      </c>
      <c r="M66" s="17">
        <f>+M67+M71</f>
        <v>3409</v>
      </c>
      <c r="N66" s="17"/>
      <c r="O66" s="17">
        <f>+O67+O71</f>
        <v>22</v>
      </c>
      <c r="P66" s="17">
        <f>+P67+P71</f>
        <v>5925</v>
      </c>
      <c r="Q66" s="18">
        <f>+K66/F66</f>
        <v>0.96621968323470053</v>
      </c>
    </row>
    <row r="67" spans="1:17" ht="12.75" customHeight="1">
      <c r="A67" s="41" t="s">
        <v>15</v>
      </c>
      <c r="B67" s="20">
        <f t="shared" ref="B67:J67" si="36">+B68+B69+B70</f>
        <v>112909</v>
      </c>
      <c r="C67" s="20">
        <f t="shared" si="36"/>
        <v>57962</v>
      </c>
      <c r="D67" s="20">
        <f t="shared" si="36"/>
        <v>0</v>
      </c>
      <c r="E67" s="20">
        <f t="shared" si="36"/>
        <v>4000</v>
      </c>
      <c r="F67" s="20">
        <f t="shared" si="36"/>
        <v>174871</v>
      </c>
      <c r="G67" s="20">
        <f t="shared" si="36"/>
        <v>110415</v>
      </c>
      <c r="H67" s="20">
        <f t="shared" si="36"/>
        <v>55080</v>
      </c>
      <c r="I67" s="20"/>
      <c r="J67" s="20">
        <f t="shared" si="36"/>
        <v>3978</v>
      </c>
      <c r="K67" s="20">
        <f>+K68+K69+K70</f>
        <v>169473</v>
      </c>
      <c r="L67" s="20">
        <f>+L68+L69+L70</f>
        <v>2494</v>
      </c>
      <c r="M67" s="20">
        <f>+M68+M69+M70</f>
        <v>2882</v>
      </c>
      <c r="N67" s="20"/>
      <c r="O67" s="20">
        <f>+O68+O69+O70</f>
        <v>22</v>
      </c>
      <c r="P67" s="21">
        <f>+P68+P69+P70</f>
        <v>5398</v>
      </c>
      <c r="Q67" s="18"/>
    </row>
    <row r="68" spans="1:17" ht="12.75" customHeight="1">
      <c r="A68" s="22" t="s">
        <v>16</v>
      </c>
      <c r="B68" s="29">
        <v>103241</v>
      </c>
      <c r="C68" s="29">
        <v>57962</v>
      </c>
      <c r="D68" s="29"/>
      <c r="E68" s="30">
        <v>4000</v>
      </c>
      <c r="F68" s="24">
        <f>SUM(B68:E68)</f>
        <v>165203</v>
      </c>
      <c r="G68" s="29">
        <f>100622+270</f>
        <v>100892</v>
      </c>
      <c r="H68" s="29">
        <v>55080</v>
      </c>
      <c r="I68" s="29"/>
      <c r="J68" s="29">
        <v>3978</v>
      </c>
      <c r="K68" s="24">
        <f>SUM(G68:J68)</f>
        <v>159950</v>
      </c>
      <c r="L68" s="25">
        <f t="shared" ref="L68:M70" si="37">+B68-G68</f>
        <v>2349</v>
      </c>
      <c r="M68" s="25">
        <f t="shared" si="37"/>
        <v>2882</v>
      </c>
      <c r="N68" s="25"/>
      <c r="O68" s="25">
        <f>+E68-J68</f>
        <v>22</v>
      </c>
      <c r="P68" s="26">
        <f>SUM(L68:O68)</f>
        <v>5253</v>
      </c>
      <c r="Q68" s="18"/>
    </row>
    <row r="69" spans="1:17" ht="12.75" customHeight="1">
      <c r="A69" s="23" t="s">
        <v>17</v>
      </c>
      <c r="B69" s="29">
        <v>2294</v>
      </c>
      <c r="C69" s="34"/>
      <c r="D69" s="34"/>
      <c r="E69" s="30"/>
      <c r="F69" s="24">
        <f>SUM(B69:E69)</f>
        <v>2294</v>
      </c>
      <c r="G69" s="29">
        <v>2149</v>
      </c>
      <c r="H69" s="34"/>
      <c r="I69" s="34"/>
      <c r="J69" s="34"/>
      <c r="K69" s="24">
        <f>SUM(G69:J69)</f>
        <v>2149</v>
      </c>
      <c r="L69" s="25">
        <f t="shared" si="37"/>
        <v>145</v>
      </c>
      <c r="M69" s="25">
        <f t="shared" si="37"/>
        <v>0</v>
      </c>
      <c r="N69" s="25"/>
      <c r="O69" s="25">
        <f>+E69-J69</f>
        <v>0</v>
      </c>
      <c r="P69" s="26">
        <f>SUM(L69:O69)</f>
        <v>145</v>
      </c>
      <c r="Q69" s="18"/>
    </row>
    <row r="70" spans="1:17" ht="12.75" customHeight="1">
      <c r="A70" s="22" t="s">
        <v>18</v>
      </c>
      <c r="B70" s="29">
        <v>7374</v>
      </c>
      <c r="C70" s="34"/>
      <c r="D70" s="34"/>
      <c r="E70" s="35"/>
      <c r="F70" s="24">
        <f>SUM(B70:E70)</f>
        <v>7374</v>
      </c>
      <c r="G70" s="29">
        <f>7644-270</f>
        <v>7374</v>
      </c>
      <c r="H70" s="34"/>
      <c r="I70" s="34"/>
      <c r="J70" s="34"/>
      <c r="K70" s="24">
        <f>SUM(G70:J70)</f>
        <v>7374</v>
      </c>
      <c r="L70" s="25">
        <f t="shared" si="37"/>
        <v>0</v>
      </c>
      <c r="M70" s="25">
        <f t="shared" si="37"/>
        <v>0</v>
      </c>
      <c r="N70" s="25"/>
      <c r="O70" s="25">
        <f>+E70-J70</f>
        <v>0</v>
      </c>
      <c r="P70" s="26">
        <f>SUM(L70:O70)</f>
        <v>0</v>
      </c>
      <c r="Q70" s="18"/>
    </row>
    <row r="71" spans="1:17" ht="12.75" customHeight="1">
      <c r="A71" s="22" t="s">
        <v>19</v>
      </c>
      <c r="B71" s="27">
        <f t="shared" ref="B71:F71" si="38">+B72+B73</f>
        <v>0</v>
      </c>
      <c r="C71" s="27">
        <f t="shared" si="38"/>
        <v>527</v>
      </c>
      <c r="D71" s="27">
        <f t="shared" si="38"/>
        <v>0</v>
      </c>
      <c r="E71" s="27">
        <f t="shared" si="38"/>
        <v>0</v>
      </c>
      <c r="F71" s="27">
        <f t="shared" si="38"/>
        <v>527</v>
      </c>
      <c r="G71" s="27">
        <f>+G72+G73</f>
        <v>0</v>
      </c>
      <c r="H71" s="27">
        <f>+H72+H73</f>
        <v>0</v>
      </c>
      <c r="I71" s="27"/>
      <c r="J71" s="27">
        <f>+J72+J73</f>
        <v>0</v>
      </c>
      <c r="K71" s="27">
        <f t="shared" ref="K71" si="39">+K72+K73</f>
        <v>0</v>
      </c>
      <c r="L71" s="27">
        <f>+L72+L73</f>
        <v>0</v>
      </c>
      <c r="M71" s="27">
        <f>+M72+M73</f>
        <v>527</v>
      </c>
      <c r="N71" s="27"/>
      <c r="O71" s="27">
        <f>+O72+O73</f>
        <v>0</v>
      </c>
      <c r="P71" s="28">
        <f>+P72+P73</f>
        <v>527</v>
      </c>
      <c r="Q71" s="18"/>
    </row>
    <row r="72" spans="1:17" ht="12.75" customHeight="1">
      <c r="A72" s="23" t="s">
        <v>20</v>
      </c>
      <c r="B72" s="29"/>
      <c r="C72" s="29">
        <v>527</v>
      </c>
      <c r="D72" s="29"/>
      <c r="E72" s="30"/>
      <c r="F72" s="24">
        <f>SUM(B72:E72)</f>
        <v>527</v>
      </c>
      <c r="G72" s="29"/>
      <c r="H72" s="29"/>
      <c r="I72" s="29"/>
      <c r="J72" s="29"/>
      <c r="K72" s="24">
        <f>SUM(G72:J72)</f>
        <v>0</v>
      </c>
      <c r="L72" s="25">
        <f>+B72-G72</f>
        <v>0</v>
      </c>
      <c r="M72" s="25">
        <f>+C72-H72</f>
        <v>527</v>
      </c>
      <c r="N72" s="25"/>
      <c r="O72" s="25">
        <f>+E72-J72</f>
        <v>0</v>
      </c>
      <c r="P72" s="26">
        <f>SUM(L72:O72)</f>
        <v>527</v>
      </c>
      <c r="Q72" s="18"/>
    </row>
    <row r="73" spans="1:17" ht="12.75" customHeight="1">
      <c r="A73" s="23" t="s">
        <v>21</v>
      </c>
      <c r="B73" s="29"/>
      <c r="C73" s="29"/>
      <c r="D73" s="29"/>
      <c r="E73" s="30"/>
      <c r="F73" s="24">
        <f>SUM(B73:E73)</f>
        <v>0</v>
      </c>
      <c r="G73" s="29"/>
      <c r="H73" s="29"/>
      <c r="I73" s="29"/>
      <c r="J73" s="29"/>
      <c r="K73" s="24">
        <f>SUM(G73:J73)</f>
        <v>0</v>
      </c>
      <c r="L73" s="25">
        <f>+B73-G73</f>
        <v>0</v>
      </c>
      <c r="M73" s="25">
        <f>+C73-H73</f>
        <v>0</v>
      </c>
      <c r="N73" s="25"/>
      <c r="O73" s="25">
        <f>+E73-J73</f>
        <v>0</v>
      </c>
      <c r="P73" s="26">
        <f>SUM(L73:O73)</f>
        <v>0</v>
      </c>
      <c r="Q73" s="18"/>
    </row>
    <row r="74" spans="1:17" ht="12.75" customHeight="1">
      <c r="A74" s="33"/>
      <c r="B74" s="25"/>
      <c r="C74" s="25"/>
      <c r="D74" s="25"/>
      <c r="E74" s="43"/>
      <c r="F74" s="24"/>
      <c r="G74" s="25"/>
      <c r="H74" s="25"/>
      <c r="I74" s="25"/>
      <c r="J74" s="25"/>
      <c r="K74" s="24"/>
      <c r="L74" s="25"/>
      <c r="M74" s="25"/>
      <c r="N74" s="25"/>
      <c r="O74" s="25"/>
      <c r="P74" s="26"/>
      <c r="Q74" s="18"/>
    </row>
    <row r="75" spans="1:17" ht="12.75" customHeight="1">
      <c r="A75" s="215" t="s">
        <v>98</v>
      </c>
      <c r="B75" s="17">
        <f t="shared" ref="B75:K75" si="40">+B76+B80</f>
        <v>217228</v>
      </c>
      <c r="C75" s="17">
        <f t="shared" si="40"/>
        <v>139171</v>
      </c>
      <c r="D75" s="17">
        <f t="shared" si="40"/>
        <v>0</v>
      </c>
      <c r="E75" s="17">
        <f t="shared" si="40"/>
        <v>11906</v>
      </c>
      <c r="F75" s="17">
        <f t="shared" si="40"/>
        <v>368305</v>
      </c>
      <c r="G75" s="17">
        <f t="shared" si="40"/>
        <v>217133.76</v>
      </c>
      <c r="H75" s="17">
        <f t="shared" si="40"/>
        <v>137915.88200000001</v>
      </c>
      <c r="I75" s="17">
        <f t="shared" si="40"/>
        <v>0</v>
      </c>
      <c r="J75" s="17">
        <f t="shared" si="40"/>
        <v>0</v>
      </c>
      <c r="K75" s="17">
        <f t="shared" si="40"/>
        <v>355049.64199999999</v>
      </c>
      <c r="L75" s="17">
        <f>+L76+L80</f>
        <v>94.239999999990687</v>
      </c>
      <c r="M75" s="17">
        <f>+M76+M80</f>
        <v>1255.1179999999877</v>
      </c>
      <c r="N75" s="17"/>
      <c r="O75" s="17">
        <f>+O76+O80</f>
        <v>11906</v>
      </c>
      <c r="P75" s="17">
        <f>+P76+P80</f>
        <v>13255.357999999978</v>
      </c>
      <c r="Q75" s="18">
        <f>+K75/F75</f>
        <v>0.9640098342406429</v>
      </c>
    </row>
    <row r="76" spans="1:17" ht="12.75" customHeight="1">
      <c r="A76" s="41" t="s">
        <v>15</v>
      </c>
      <c r="B76" s="20">
        <f t="shared" ref="B76:K76" si="41">+B77+B78+B79</f>
        <v>217228</v>
      </c>
      <c r="C76" s="20">
        <f t="shared" si="41"/>
        <v>139171</v>
      </c>
      <c r="D76" s="20">
        <f t="shared" si="41"/>
        <v>0</v>
      </c>
      <c r="E76" s="20">
        <f t="shared" si="41"/>
        <v>11906</v>
      </c>
      <c r="F76" s="20">
        <f t="shared" si="41"/>
        <v>368305</v>
      </c>
      <c r="G76" s="20">
        <f t="shared" si="41"/>
        <v>217133.76</v>
      </c>
      <c r="H76" s="20">
        <f t="shared" si="41"/>
        <v>137915.88200000001</v>
      </c>
      <c r="I76" s="20">
        <f t="shared" si="41"/>
        <v>0</v>
      </c>
      <c r="J76" s="20">
        <f t="shared" si="41"/>
        <v>0</v>
      </c>
      <c r="K76" s="20">
        <f t="shared" si="41"/>
        <v>355049.64199999999</v>
      </c>
      <c r="L76" s="20">
        <f>+L77+L78+L79</f>
        <v>94.239999999990687</v>
      </c>
      <c r="M76" s="20">
        <f>+M77+M78+M79</f>
        <v>1255.1179999999877</v>
      </c>
      <c r="N76" s="20"/>
      <c r="O76" s="20">
        <f>+O77+O78+O79</f>
        <v>11906</v>
      </c>
      <c r="P76" s="21">
        <f>+P77+P78+P79</f>
        <v>13255.357999999978</v>
      </c>
      <c r="Q76" s="18"/>
    </row>
    <row r="77" spans="1:17" ht="12.75" customHeight="1">
      <c r="A77" s="22" t="s">
        <v>16</v>
      </c>
      <c r="B77" s="29">
        <v>183478</v>
      </c>
      <c r="C77" s="29">
        <v>139171</v>
      </c>
      <c r="D77" s="29"/>
      <c r="E77" s="30">
        <v>11906</v>
      </c>
      <c r="F77" s="24">
        <f>SUM(B77:E77)</f>
        <v>334555</v>
      </c>
      <c r="G77" s="29">
        <v>183477.91500000001</v>
      </c>
      <c r="H77" s="29">
        <v>137915.88200000001</v>
      </c>
      <c r="I77" s="29"/>
      <c r="J77" s="29"/>
      <c r="K77" s="24">
        <f>SUM(G77:J77)</f>
        <v>321393.79700000002</v>
      </c>
      <c r="L77" s="25">
        <f t="shared" ref="L77:M79" si="42">+B77-G77</f>
        <v>8.4999999991850927E-2</v>
      </c>
      <c r="M77" s="25">
        <f t="shared" si="42"/>
        <v>1255.1179999999877</v>
      </c>
      <c r="N77" s="25"/>
      <c r="O77" s="25">
        <f>+E77-J77</f>
        <v>11906</v>
      </c>
      <c r="P77" s="26">
        <f>SUM(L77:O77)</f>
        <v>13161.20299999998</v>
      </c>
      <c r="Q77" s="18"/>
    </row>
    <row r="78" spans="1:17" ht="12.75" customHeight="1">
      <c r="A78" s="23" t="s">
        <v>17</v>
      </c>
      <c r="B78" s="29">
        <v>17207</v>
      </c>
      <c r="C78" s="29"/>
      <c r="D78" s="29"/>
      <c r="E78" s="30"/>
      <c r="F78" s="24">
        <f>SUM(B78:E78)</f>
        <v>17207</v>
      </c>
      <c r="G78" s="29">
        <v>17207</v>
      </c>
      <c r="H78" s="29"/>
      <c r="I78" s="34"/>
      <c r="J78" s="34"/>
      <c r="K78" s="24">
        <f>SUM(G78:J78)</f>
        <v>17207</v>
      </c>
      <c r="L78" s="25">
        <f t="shared" si="42"/>
        <v>0</v>
      </c>
      <c r="M78" s="25">
        <f t="shared" si="42"/>
        <v>0</v>
      </c>
      <c r="N78" s="25"/>
      <c r="O78" s="25">
        <f>+E78-J78</f>
        <v>0</v>
      </c>
      <c r="P78" s="26">
        <f>SUM(L78:O78)</f>
        <v>0</v>
      </c>
      <c r="Q78" s="18"/>
    </row>
    <row r="79" spans="1:17" ht="12.75" customHeight="1">
      <c r="A79" s="22" t="s">
        <v>18</v>
      </c>
      <c r="B79" s="29">
        <v>16543</v>
      </c>
      <c r="C79" s="34"/>
      <c r="D79" s="34"/>
      <c r="E79" s="35"/>
      <c r="F79" s="24">
        <f>SUM(B79:E79)</f>
        <v>16543</v>
      </c>
      <c r="G79" s="29">
        <v>16448.845000000001</v>
      </c>
      <c r="H79" s="34"/>
      <c r="I79" s="34"/>
      <c r="J79" s="34"/>
      <c r="K79" s="24">
        <f>SUM(G79:J79)</f>
        <v>16448.845000000001</v>
      </c>
      <c r="L79" s="25">
        <f t="shared" si="42"/>
        <v>94.154999999998836</v>
      </c>
      <c r="M79" s="25">
        <f t="shared" si="42"/>
        <v>0</v>
      </c>
      <c r="N79" s="25"/>
      <c r="O79" s="25">
        <f>+E79-J79</f>
        <v>0</v>
      </c>
      <c r="P79" s="26">
        <f>SUM(L79:O79)</f>
        <v>94.154999999998836</v>
      </c>
      <c r="Q79" s="18"/>
    </row>
    <row r="80" spans="1:17" ht="12.75" customHeight="1">
      <c r="A80" s="22" t="s">
        <v>19</v>
      </c>
      <c r="B80" s="27">
        <f t="shared" ref="B80:K80" si="43">+B81+B82</f>
        <v>0</v>
      </c>
      <c r="C80" s="27">
        <f t="shared" si="43"/>
        <v>0</v>
      </c>
      <c r="D80" s="27">
        <f t="shared" si="43"/>
        <v>0</v>
      </c>
      <c r="E80" s="27">
        <f t="shared" si="43"/>
        <v>0</v>
      </c>
      <c r="F80" s="27">
        <f t="shared" si="43"/>
        <v>0</v>
      </c>
      <c r="G80" s="27">
        <f t="shared" si="43"/>
        <v>0</v>
      </c>
      <c r="H80" s="27">
        <f t="shared" si="43"/>
        <v>0</v>
      </c>
      <c r="I80" s="27">
        <f t="shared" si="43"/>
        <v>0</v>
      </c>
      <c r="J80" s="27">
        <f t="shared" si="43"/>
        <v>0</v>
      </c>
      <c r="K80" s="27">
        <f t="shared" si="43"/>
        <v>0</v>
      </c>
      <c r="L80" s="27">
        <f>+L81+L82</f>
        <v>0</v>
      </c>
      <c r="M80" s="27">
        <f>+M81+M82</f>
        <v>0</v>
      </c>
      <c r="N80" s="27"/>
      <c r="O80" s="27">
        <f>+O81+O82</f>
        <v>0</v>
      </c>
      <c r="P80" s="28">
        <f>+P81+P82</f>
        <v>0</v>
      </c>
      <c r="Q80" s="18"/>
    </row>
    <row r="81" spans="1:17" ht="12.75" customHeight="1">
      <c r="A81" s="23" t="s">
        <v>20</v>
      </c>
      <c r="B81" s="29"/>
      <c r="C81" s="29"/>
      <c r="D81" s="29"/>
      <c r="E81" s="30"/>
      <c r="F81" s="24">
        <f>SUM(B81:E81)</f>
        <v>0</v>
      </c>
      <c r="G81" s="29"/>
      <c r="H81" s="29"/>
      <c r="I81" s="29"/>
      <c r="J81" s="29"/>
      <c r="K81" s="24">
        <f>SUM(G81:J81)</f>
        <v>0</v>
      </c>
      <c r="L81" s="25">
        <f>+B81-G81</f>
        <v>0</v>
      </c>
      <c r="M81" s="25">
        <f>+C81-H81</f>
        <v>0</v>
      </c>
      <c r="N81" s="25"/>
      <c r="O81" s="25">
        <f>+E81-J81</f>
        <v>0</v>
      </c>
      <c r="P81" s="26">
        <f>SUM(L81:O81)</f>
        <v>0</v>
      </c>
      <c r="Q81" s="18"/>
    </row>
    <row r="82" spans="1:17" ht="12.75" customHeight="1">
      <c r="A82" s="23" t="s">
        <v>21</v>
      </c>
      <c r="B82" s="29"/>
      <c r="C82" s="29"/>
      <c r="D82" s="29"/>
      <c r="E82" s="30"/>
      <c r="F82" s="24">
        <f>SUM(B82:E82)</f>
        <v>0</v>
      </c>
      <c r="G82" s="29"/>
      <c r="H82" s="29"/>
      <c r="I82" s="29"/>
      <c r="J82" s="29"/>
      <c r="K82" s="24">
        <f>SUM(G82:J82)</f>
        <v>0</v>
      </c>
      <c r="L82" s="25">
        <f>+B82-G82</f>
        <v>0</v>
      </c>
      <c r="M82" s="25">
        <f>+C82-H82</f>
        <v>0</v>
      </c>
      <c r="N82" s="25"/>
      <c r="O82" s="25">
        <f>+E82-J82</f>
        <v>0</v>
      </c>
      <c r="P82" s="26">
        <f>SUM(L82:O82)</f>
        <v>0</v>
      </c>
      <c r="Q82" s="18"/>
    </row>
    <row r="83" spans="1:17" ht="12.75" customHeight="1">
      <c r="A83" s="33"/>
      <c r="B83" s="25"/>
      <c r="C83" s="25"/>
      <c r="D83" s="25"/>
      <c r="E83" s="43"/>
      <c r="F83" s="24"/>
      <c r="G83" s="47"/>
      <c r="H83" s="47"/>
      <c r="I83" s="47"/>
      <c r="J83" s="47"/>
      <c r="K83" s="32"/>
      <c r="L83" s="25"/>
      <c r="M83" s="25"/>
      <c r="N83" s="25"/>
      <c r="O83" s="25"/>
      <c r="P83" s="26"/>
      <c r="Q83" s="18"/>
    </row>
    <row r="84" spans="1:17" ht="12.75" customHeight="1">
      <c r="A84" s="215" t="s">
        <v>99</v>
      </c>
      <c r="B84" s="17">
        <f t="shared" ref="B84:K84" si="44">+B85+B89</f>
        <v>279071</v>
      </c>
      <c r="C84" s="17">
        <f t="shared" si="44"/>
        <v>321547</v>
      </c>
      <c r="D84" s="17">
        <f t="shared" si="44"/>
        <v>0</v>
      </c>
      <c r="E84" s="17">
        <f t="shared" si="44"/>
        <v>547073</v>
      </c>
      <c r="F84" s="17">
        <f t="shared" si="44"/>
        <v>1147691</v>
      </c>
      <c r="G84" s="17">
        <f t="shared" si="44"/>
        <v>266245.47600000002</v>
      </c>
      <c r="H84" s="17">
        <f t="shared" si="44"/>
        <v>305077.01899999997</v>
      </c>
      <c r="I84" s="17">
        <f t="shared" si="44"/>
        <v>0</v>
      </c>
      <c r="J84" s="17">
        <f t="shared" si="44"/>
        <v>746</v>
      </c>
      <c r="K84" s="17">
        <f t="shared" si="44"/>
        <v>572068.495</v>
      </c>
      <c r="L84" s="17">
        <f>+L85+L89</f>
        <v>12825.523999999999</v>
      </c>
      <c r="M84" s="17">
        <f>+M85+M89</f>
        <v>16469.981000000029</v>
      </c>
      <c r="N84" s="17"/>
      <c r="O84" s="17">
        <f>+O85+O89</f>
        <v>546327</v>
      </c>
      <c r="P84" s="17">
        <f>+P85+P89</f>
        <v>575622.505</v>
      </c>
      <c r="Q84" s="18">
        <f>+K84/F84</f>
        <v>0.49845166948246522</v>
      </c>
    </row>
    <row r="85" spans="1:17" ht="12.75" customHeight="1">
      <c r="A85" s="41" t="s">
        <v>15</v>
      </c>
      <c r="B85" s="20">
        <f t="shared" ref="B85:K85" si="45">+B86+B87+B88</f>
        <v>279071</v>
      </c>
      <c r="C85" s="20">
        <f t="shared" si="45"/>
        <v>320646</v>
      </c>
      <c r="D85" s="20">
        <f t="shared" si="45"/>
        <v>0</v>
      </c>
      <c r="E85" s="20">
        <f t="shared" si="45"/>
        <v>484300</v>
      </c>
      <c r="F85" s="20">
        <f t="shared" si="45"/>
        <v>1084017</v>
      </c>
      <c r="G85" s="20">
        <f t="shared" si="45"/>
        <v>266245.47600000002</v>
      </c>
      <c r="H85" s="20">
        <f t="shared" si="45"/>
        <v>304176.01899999997</v>
      </c>
      <c r="I85" s="20">
        <f t="shared" si="45"/>
        <v>0</v>
      </c>
      <c r="J85" s="20">
        <f t="shared" si="45"/>
        <v>0</v>
      </c>
      <c r="K85" s="20">
        <f t="shared" si="45"/>
        <v>570421.495</v>
      </c>
      <c r="L85" s="20">
        <f>+L86+L87+L88</f>
        <v>12825.523999999999</v>
      </c>
      <c r="M85" s="20">
        <f>+M86+M87+M88</f>
        <v>16469.981000000029</v>
      </c>
      <c r="N85" s="20"/>
      <c r="O85" s="20">
        <f>+O86+O87+O88</f>
        <v>484300</v>
      </c>
      <c r="P85" s="21">
        <f>+P86+P87+P88</f>
        <v>513595.505</v>
      </c>
      <c r="Q85" s="18"/>
    </row>
    <row r="86" spans="1:17" ht="12.75" customHeight="1">
      <c r="A86" s="22" t="s">
        <v>16</v>
      </c>
      <c r="B86" s="29">
        <v>253933</v>
      </c>
      <c r="C86" s="29">
        <v>320646</v>
      </c>
      <c r="D86" s="29"/>
      <c r="E86" s="30">
        <v>484300</v>
      </c>
      <c r="F86" s="24">
        <f>SUM(B86:E86)</f>
        <v>1058879</v>
      </c>
      <c r="G86" s="29">
        <v>242094.057</v>
      </c>
      <c r="H86" s="29">
        <v>304176.01899999997</v>
      </c>
      <c r="I86" s="29"/>
      <c r="J86" s="29"/>
      <c r="K86" s="24">
        <f>SUM(G86:J86)</f>
        <v>546270.076</v>
      </c>
      <c r="L86" s="25">
        <f t="shared" ref="L86:M88" si="46">+B86-G86</f>
        <v>11838.942999999999</v>
      </c>
      <c r="M86" s="25">
        <f t="shared" si="46"/>
        <v>16469.981000000029</v>
      </c>
      <c r="N86" s="25"/>
      <c r="O86" s="25">
        <f>+E86-J86</f>
        <v>484300</v>
      </c>
      <c r="P86" s="26">
        <f>SUM(L86:O86)</f>
        <v>512608.924</v>
      </c>
      <c r="Q86" s="18"/>
    </row>
    <row r="87" spans="1:17" ht="12.75" customHeight="1">
      <c r="A87" s="23" t="s">
        <v>17</v>
      </c>
      <c r="B87" s="29">
        <v>14695</v>
      </c>
      <c r="C87" s="34"/>
      <c r="D87" s="34"/>
      <c r="E87" s="30"/>
      <c r="F87" s="24">
        <f>SUM(B87:E87)</f>
        <v>14695</v>
      </c>
      <c r="G87" s="29">
        <f>9512.419+4196</f>
        <v>13708.419</v>
      </c>
      <c r="H87" s="34"/>
      <c r="I87" s="34"/>
      <c r="J87" s="34"/>
      <c r="K87" s="24">
        <f>SUM(G87:J87)</f>
        <v>13708.419</v>
      </c>
      <c r="L87" s="25">
        <f t="shared" si="46"/>
        <v>986.58100000000013</v>
      </c>
      <c r="M87" s="25">
        <f t="shared" si="46"/>
        <v>0</v>
      </c>
      <c r="N87" s="25"/>
      <c r="O87" s="25">
        <f>+E87-J87</f>
        <v>0</v>
      </c>
      <c r="P87" s="26">
        <f>SUM(L87:O87)</f>
        <v>986.58100000000013</v>
      </c>
      <c r="Q87" s="18"/>
    </row>
    <row r="88" spans="1:17" ht="12.75" customHeight="1">
      <c r="A88" s="22" t="s">
        <v>18</v>
      </c>
      <c r="B88" s="29">
        <v>10443</v>
      </c>
      <c r="C88" s="34"/>
      <c r="D88" s="34"/>
      <c r="E88" s="35"/>
      <c r="F88" s="24">
        <f>SUM(B88:E88)</f>
        <v>10443</v>
      </c>
      <c r="G88" s="29">
        <f>14639-4196</f>
        <v>10443</v>
      </c>
      <c r="H88" s="34"/>
      <c r="I88" s="34"/>
      <c r="J88" s="34"/>
      <c r="K88" s="24">
        <f>SUM(G88:J88)</f>
        <v>10443</v>
      </c>
      <c r="L88" s="25">
        <f t="shared" si="46"/>
        <v>0</v>
      </c>
      <c r="M88" s="25">
        <f t="shared" si="46"/>
        <v>0</v>
      </c>
      <c r="N88" s="25"/>
      <c r="O88" s="25">
        <f>+E88-J88</f>
        <v>0</v>
      </c>
      <c r="P88" s="26">
        <f>SUM(L88:O88)</f>
        <v>0</v>
      </c>
      <c r="Q88" s="18"/>
    </row>
    <row r="89" spans="1:17" ht="12.75" customHeight="1">
      <c r="A89" s="22" t="s">
        <v>19</v>
      </c>
      <c r="B89" s="27">
        <f t="shared" ref="B89:K89" si="47">+B90+B91</f>
        <v>0</v>
      </c>
      <c r="C89" s="27">
        <f t="shared" si="47"/>
        <v>901</v>
      </c>
      <c r="D89" s="27">
        <f t="shared" si="47"/>
        <v>0</v>
      </c>
      <c r="E89" s="27">
        <f t="shared" si="47"/>
        <v>62773</v>
      </c>
      <c r="F89" s="27">
        <f t="shared" si="47"/>
        <v>63674</v>
      </c>
      <c r="G89" s="27">
        <f t="shared" si="47"/>
        <v>0</v>
      </c>
      <c r="H89" s="27">
        <f t="shared" si="47"/>
        <v>901</v>
      </c>
      <c r="I89" s="27">
        <f t="shared" si="47"/>
        <v>0</v>
      </c>
      <c r="J89" s="27">
        <f t="shared" si="47"/>
        <v>746</v>
      </c>
      <c r="K89" s="27">
        <f t="shared" si="47"/>
        <v>1647</v>
      </c>
      <c r="L89" s="27">
        <f>+L90+L91</f>
        <v>0</v>
      </c>
      <c r="M89" s="27">
        <f>+M90+M91</f>
        <v>0</v>
      </c>
      <c r="N89" s="27"/>
      <c r="O89" s="27">
        <f>+O90+O91</f>
        <v>62027</v>
      </c>
      <c r="P89" s="28">
        <f>+P90+P91</f>
        <v>62027</v>
      </c>
      <c r="Q89" s="18"/>
    </row>
    <row r="90" spans="1:17" ht="12.75" customHeight="1">
      <c r="A90" s="23" t="s">
        <v>20</v>
      </c>
      <c r="B90" s="29"/>
      <c r="C90" s="29">
        <f>82+819</f>
        <v>901</v>
      </c>
      <c r="D90" s="29"/>
      <c r="E90" s="30">
        <f>63592-819</f>
        <v>62773</v>
      </c>
      <c r="F90" s="24">
        <f>SUM(B90:E90)</f>
        <v>63674</v>
      </c>
      <c r="G90" s="29"/>
      <c r="H90" s="29">
        <v>901</v>
      </c>
      <c r="I90" s="29"/>
      <c r="J90" s="29">
        <v>746</v>
      </c>
      <c r="K90" s="24">
        <f>SUM(G90:J90)</f>
        <v>1647</v>
      </c>
      <c r="L90" s="25">
        <f>+B90-G90</f>
        <v>0</v>
      </c>
      <c r="M90" s="25">
        <f>+C90-H90</f>
        <v>0</v>
      </c>
      <c r="N90" s="25"/>
      <c r="O90" s="25">
        <f>+E90-J90</f>
        <v>62027</v>
      </c>
      <c r="P90" s="26">
        <f>SUM(L90:O90)</f>
        <v>62027</v>
      </c>
      <c r="Q90" s="18"/>
    </row>
    <row r="91" spans="1:17" ht="12.75" customHeight="1">
      <c r="A91" s="23" t="s">
        <v>21</v>
      </c>
      <c r="B91" s="29"/>
      <c r="C91" s="29"/>
      <c r="D91" s="29"/>
      <c r="E91" s="30"/>
      <c r="F91" s="24">
        <f>SUM(B91:E91)</f>
        <v>0</v>
      </c>
      <c r="G91" s="29"/>
      <c r="H91" s="29"/>
      <c r="I91" s="29"/>
      <c r="J91" s="29"/>
      <c r="K91" s="24">
        <f>SUM(G91:J91)</f>
        <v>0</v>
      </c>
      <c r="L91" s="25">
        <f>+B91-G91</f>
        <v>0</v>
      </c>
      <c r="M91" s="25">
        <f>+C91-H91</f>
        <v>0</v>
      </c>
      <c r="N91" s="25"/>
      <c r="O91" s="25">
        <f>+E91-J91</f>
        <v>0</v>
      </c>
      <c r="P91" s="26">
        <f>SUM(L91:O91)</f>
        <v>0</v>
      </c>
      <c r="Q91" s="18"/>
    </row>
    <row r="92" spans="1:17" ht="12.75" customHeight="1">
      <c r="A92" s="33"/>
      <c r="B92" s="25"/>
      <c r="C92" s="25"/>
      <c r="D92" s="25"/>
      <c r="E92" s="43"/>
      <c r="F92" s="24"/>
      <c r="G92" s="47"/>
      <c r="H92" s="47"/>
      <c r="I92" s="47"/>
      <c r="J92" s="47"/>
      <c r="K92" s="32"/>
      <c r="L92" s="25"/>
      <c r="M92" s="25"/>
      <c r="N92" s="25"/>
      <c r="O92" s="25"/>
      <c r="P92" s="26"/>
      <c r="Q92" s="18"/>
    </row>
    <row r="93" spans="1:17" ht="12.75" customHeight="1">
      <c r="A93" s="216" t="s">
        <v>100</v>
      </c>
      <c r="B93" s="17">
        <f t="shared" ref="B93:K93" si="48">+B94+B98+B99</f>
        <v>1660340</v>
      </c>
      <c r="C93" s="17">
        <f t="shared" si="48"/>
        <v>4006630</v>
      </c>
      <c r="D93" s="17">
        <f t="shared" si="48"/>
        <v>0</v>
      </c>
      <c r="E93" s="17">
        <f t="shared" si="48"/>
        <v>112045</v>
      </c>
      <c r="F93" s="17">
        <f t="shared" si="48"/>
        <v>5779015</v>
      </c>
      <c r="G93" s="17">
        <f t="shared" si="48"/>
        <v>1600675</v>
      </c>
      <c r="H93" s="17">
        <f t="shared" si="48"/>
        <v>3354453</v>
      </c>
      <c r="I93" s="17"/>
      <c r="J93" s="17">
        <f t="shared" si="48"/>
        <v>63965</v>
      </c>
      <c r="K93" s="17">
        <f t="shared" si="48"/>
        <v>5019093</v>
      </c>
      <c r="L93" s="17">
        <f t="shared" ref="L93:P93" si="49">+L94+L98+L99</f>
        <v>59665</v>
      </c>
      <c r="M93" s="17">
        <f t="shared" si="49"/>
        <v>652177</v>
      </c>
      <c r="N93" s="17"/>
      <c r="O93" s="17">
        <f t="shared" si="49"/>
        <v>48080</v>
      </c>
      <c r="P93" s="17">
        <f t="shared" si="49"/>
        <v>759922</v>
      </c>
      <c r="Q93" s="18">
        <f>+K93/F93</f>
        <v>0.86850319647898477</v>
      </c>
    </row>
    <row r="94" spans="1:17" ht="12.75" customHeight="1">
      <c r="A94" s="41" t="s">
        <v>15</v>
      </c>
      <c r="B94" s="20">
        <f t="shared" ref="B94:J94" si="50">+B95+B96+B97</f>
        <v>1660340</v>
      </c>
      <c r="C94" s="20">
        <f t="shared" si="50"/>
        <v>3602603</v>
      </c>
      <c r="D94" s="20">
        <f t="shared" si="50"/>
        <v>0</v>
      </c>
      <c r="E94" s="20">
        <f t="shared" si="50"/>
        <v>112045</v>
      </c>
      <c r="F94" s="20">
        <f t="shared" si="50"/>
        <v>5374988</v>
      </c>
      <c r="G94" s="20">
        <f t="shared" si="50"/>
        <v>1600675</v>
      </c>
      <c r="H94" s="20">
        <f t="shared" si="50"/>
        <v>3228154</v>
      </c>
      <c r="I94" s="20"/>
      <c r="J94" s="20">
        <f t="shared" si="50"/>
        <v>63965</v>
      </c>
      <c r="K94" s="20">
        <f>+K95+K96+K97</f>
        <v>4892794</v>
      </c>
      <c r="L94" s="20">
        <f>+L95+L96+L97</f>
        <v>59665</v>
      </c>
      <c r="M94" s="20">
        <f>+M95+M96+M97</f>
        <v>374449</v>
      </c>
      <c r="N94" s="20"/>
      <c r="O94" s="20">
        <f>+O95+O96+O97</f>
        <v>48080</v>
      </c>
      <c r="P94" s="21">
        <f>+P95+P96+P97</f>
        <v>482194</v>
      </c>
      <c r="Q94" s="18"/>
    </row>
    <row r="95" spans="1:17" ht="12.75" customHeight="1">
      <c r="A95" s="22" t="s">
        <v>16</v>
      </c>
      <c r="B95" s="29">
        <v>1402791</v>
      </c>
      <c r="C95" s="29">
        <v>3599514</v>
      </c>
      <c r="D95" s="29"/>
      <c r="E95" s="30">
        <v>112045</v>
      </c>
      <c r="F95" s="24">
        <f>SUM(B95:E95)</f>
        <v>5114350</v>
      </c>
      <c r="G95" s="29">
        <v>1394026</v>
      </c>
      <c r="H95" s="29">
        <v>3228154</v>
      </c>
      <c r="I95" s="29"/>
      <c r="J95" s="29">
        <v>63965</v>
      </c>
      <c r="K95" s="24">
        <f>SUM(G95:J95)</f>
        <v>4686145</v>
      </c>
      <c r="L95" s="25">
        <f t="shared" ref="L95:M98" si="51">+B95-G95</f>
        <v>8765</v>
      </c>
      <c r="M95" s="25">
        <f t="shared" si="51"/>
        <v>371360</v>
      </c>
      <c r="N95" s="25"/>
      <c r="O95" s="25">
        <f>+E95-J95</f>
        <v>48080</v>
      </c>
      <c r="P95" s="26">
        <f>SUM(L95:O95)</f>
        <v>428205</v>
      </c>
      <c r="Q95" s="18"/>
    </row>
    <row r="96" spans="1:17" ht="12.75" customHeight="1">
      <c r="A96" s="23" t="s">
        <v>17</v>
      </c>
      <c r="B96" s="29">
        <v>126459</v>
      </c>
      <c r="C96" s="29">
        <v>1196</v>
      </c>
      <c r="D96" s="29"/>
      <c r="E96" s="30"/>
      <c r="F96" s="24">
        <f>SUM(B96:E96)</f>
        <v>127655</v>
      </c>
      <c r="G96" s="29">
        <f>67106+30836</f>
        <v>97942</v>
      </c>
      <c r="H96" s="29"/>
      <c r="I96" s="29"/>
      <c r="J96" s="29"/>
      <c r="K96" s="24">
        <f>SUM(G96:J96)</f>
        <v>97942</v>
      </c>
      <c r="L96" s="25">
        <f t="shared" si="51"/>
        <v>28517</v>
      </c>
      <c r="M96" s="25">
        <f t="shared" si="51"/>
        <v>1196</v>
      </c>
      <c r="N96" s="25"/>
      <c r="O96" s="25">
        <f>+E96-J96</f>
        <v>0</v>
      </c>
      <c r="P96" s="26">
        <f>SUM(L96:O96)</f>
        <v>29713</v>
      </c>
      <c r="Q96" s="18"/>
    </row>
    <row r="97" spans="1:17" ht="12.75" customHeight="1">
      <c r="A97" s="22" t="s">
        <v>18</v>
      </c>
      <c r="B97" s="29">
        <v>131090</v>
      </c>
      <c r="C97" s="34">
        <v>1893</v>
      </c>
      <c r="D97" s="34"/>
      <c r="E97" s="30"/>
      <c r="F97" s="24">
        <f>SUM(B97:E97)</f>
        <v>132983</v>
      </c>
      <c r="G97" s="29">
        <v>108707</v>
      </c>
      <c r="H97" s="29"/>
      <c r="I97" s="29"/>
      <c r="J97" s="29"/>
      <c r="K97" s="24">
        <f>SUM(G97:J97)</f>
        <v>108707</v>
      </c>
      <c r="L97" s="25">
        <f t="shared" si="51"/>
        <v>22383</v>
      </c>
      <c r="M97" s="25">
        <f t="shared" si="51"/>
        <v>1893</v>
      </c>
      <c r="N97" s="25"/>
      <c r="O97" s="25">
        <f>+E97-J97</f>
        <v>0</v>
      </c>
      <c r="P97" s="26">
        <f>SUM(L97:O97)</f>
        <v>24276</v>
      </c>
      <c r="Q97" s="18"/>
    </row>
    <row r="98" spans="1:17" ht="12.75" customHeight="1">
      <c r="A98" s="22" t="s">
        <v>30</v>
      </c>
      <c r="B98" s="29"/>
      <c r="C98" s="29">
        <v>267750</v>
      </c>
      <c r="D98" s="29"/>
      <c r="E98" s="30"/>
      <c r="F98" s="24">
        <f>SUM(B98:E98)</f>
        <v>267750</v>
      </c>
      <c r="G98" s="29"/>
      <c r="H98" s="29">
        <v>125465</v>
      </c>
      <c r="I98" s="29"/>
      <c r="J98" s="29"/>
      <c r="K98" s="24">
        <f>SUM(G98:J98)</f>
        <v>125465</v>
      </c>
      <c r="L98" s="25">
        <f t="shared" si="51"/>
        <v>0</v>
      </c>
      <c r="M98" s="25">
        <f t="shared" si="51"/>
        <v>142285</v>
      </c>
      <c r="N98" s="25"/>
      <c r="O98" s="25">
        <f>+E98-J98</f>
        <v>0</v>
      </c>
      <c r="P98" s="26">
        <f>SUM(L98:O98)</f>
        <v>142285</v>
      </c>
      <c r="Q98" s="18"/>
    </row>
    <row r="99" spans="1:17" ht="12.75" customHeight="1">
      <c r="A99" s="22" t="s">
        <v>19</v>
      </c>
      <c r="B99" s="27">
        <f t="shared" ref="B99:K99" si="52">+B100+B101</f>
        <v>0</v>
      </c>
      <c r="C99" s="27">
        <f t="shared" si="52"/>
        <v>136277</v>
      </c>
      <c r="D99" s="27">
        <f t="shared" si="52"/>
        <v>0</v>
      </c>
      <c r="E99" s="27">
        <f t="shared" si="52"/>
        <v>0</v>
      </c>
      <c r="F99" s="27">
        <f t="shared" si="52"/>
        <v>136277</v>
      </c>
      <c r="G99" s="27">
        <f t="shared" si="52"/>
        <v>0</v>
      </c>
      <c r="H99" s="27">
        <f t="shared" si="52"/>
        <v>834</v>
      </c>
      <c r="I99" s="27"/>
      <c r="J99" s="27">
        <f t="shared" si="52"/>
        <v>0</v>
      </c>
      <c r="K99" s="27">
        <f t="shared" si="52"/>
        <v>834</v>
      </c>
      <c r="L99" s="27">
        <f>+L100+L101</f>
        <v>0</v>
      </c>
      <c r="M99" s="27">
        <f>+M100+M101</f>
        <v>135443</v>
      </c>
      <c r="N99" s="27"/>
      <c r="O99" s="27">
        <f>+O100+O101</f>
        <v>0</v>
      </c>
      <c r="P99" s="28">
        <f>+P100+P101</f>
        <v>135443</v>
      </c>
      <c r="Q99" s="18"/>
    </row>
    <row r="100" spans="1:17" ht="12.75" customHeight="1">
      <c r="A100" s="23" t="s">
        <v>20</v>
      </c>
      <c r="B100" s="29"/>
      <c r="C100" s="29">
        <v>136277</v>
      </c>
      <c r="D100" s="29"/>
      <c r="E100" s="30"/>
      <c r="F100" s="24">
        <f>SUM(B100:E100)</f>
        <v>136277</v>
      </c>
      <c r="G100" s="29"/>
      <c r="H100" s="29">
        <f>500+334</f>
        <v>834</v>
      </c>
      <c r="I100" s="29"/>
      <c r="J100" s="29"/>
      <c r="K100" s="24">
        <f>SUM(G100:J100)</f>
        <v>834</v>
      </c>
      <c r="L100" s="25">
        <f>+B100-G100</f>
        <v>0</v>
      </c>
      <c r="M100" s="25">
        <f>+C100-H100</f>
        <v>135443</v>
      </c>
      <c r="N100" s="25"/>
      <c r="O100" s="25">
        <f>+E100-J100</f>
        <v>0</v>
      </c>
      <c r="P100" s="26">
        <f>SUM(L100:O100)</f>
        <v>135443</v>
      </c>
      <c r="Q100" s="18"/>
    </row>
    <row r="101" spans="1:17" ht="12.75" customHeight="1">
      <c r="A101" s="23" t="s">
        <v>21</v>
      </c>
      <c r="B101" s="29"/>
      <c r="C101" s="29"/>
      <c r="D101" s="29"/>
      <c r="E101" s="30"/>
      <c r="F101" s="24">
        <f>SUM(B101:E101)</f>
        <v>0</v>
      </c>
      <c r="G101" s="29"/>
      <c r="H101" s="29">
        <f>334-334</f>
        <v>0</v>
      </c>
      <c r="I101" s="29"/>
      <c r="J101" s="29"/>
      <c r="K101" s="24">
        <f>SUM(G101:J101)</f>
        <v>0</v>
      </c>
      <c r="L101" s="25">
        <f>+B101-G101</f>
        <v>0</v>
      </c>
      <c r="M101" s="25">
        <f>+C101-H101</f>
        <v>0</v>
      </c>
      <c r="N101" s="25"/>
      <c r="O101" s="25">
        <f>+E101-J101</f>
        <v>0</v>
      </c>
      <c r="P101" s="26">
        <f>SUM(L101:O101)</f>
        <v>0</v>
      </c>
      <c r="Q101" s="18"/>
    </row>
    <row r="102" spans="1:17" ht="12.75" customHeight="1">
      <c r="A102" s="83"/>
      <c r="B102" s="77"/>
      <c r="C102" s="77"/>
      <c r="D102" s="77"/>
      <c r="E102" s="75"/>
      <c r="F102" s="77"/>
      <c r="G102" s="82"/>
      <c r="H102" s="82"/>
      <c r="I102" s="82"/>
      <c r="J102" s="82"/>
      <c r="K102" s="82"/>
      <c r="L102" s="77"/>
      <c r="M102" s="77"/>
      <c r="N102" s="77"/>
      <c r="O102" s="77"/>
      <c r="P102" s="75"/>
      <c r="Q102" s="76"/>
    </row>
    <row r="103" spans="1:17">
      <c r="A103" s="80"/>
    </row>
    <row r="104" spans="1:17">
      <c r="A104" s="80"/>
    </row>
    <row r="105" spans="1:17">
      <c r="A105" s="80"/>
    </row>
    <row r="106" spans="1:17">
      <c r="A106" s="80"/>
    </row>
    <row r="107" spans="1:17">
      <c r="A107" s="80"/>
    </row>
    <row r="108" spans="1:17">
      <c r="A108" s="80"/>
    </row>
    <row r="109" spans="1:17">
      <c r="A109" s="80"/>
    </row>
    <row r="110" spans="1:17">
      <c r="A110" s="80"/>
    </row>
    <row r="111" spans="1:17">
      <c r="A111" s="80"/>
    </row>
    <row r="112" spans="1:17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  <row r="1128" spans="1:1">
      <c r="A1128" s="80"/>
    </row>
    <row r="1129" spans="1:1">
      <c r="A1129" s="80"/>
    </row>
    <row r="1130" spans="1:1">
      <c r="A1130" s="80"/>
    </row>
    <row r="1131" spans="1:1">
      <c r="A1131" s="80"/>
    </row>
    <row r="1132" spans="1:1">
      <c r="A1132" s="80"/>
    </row>
    <row r="1133" spans="1:1">
      <c r="A1133" s="80"/>
    </row>
    <row r="1134" spans="1:1">
      <c r="A1134" s="80"/>
    </row>
    <row r="1135" spans="1:1">
      <c r="A1135" s="80"/>
    </row>
    <row r="1136" spans="1:1">
      <c r="A1136" s="80"/>
    </row>
    <row r="1137" spans="1:1">
      <c r="A1137" s="80"/>
    </row>
    <row r="1138" spans="1:1">
      <c r="A1138" s="80"/>
    </row>
    <row r="1139" spans="1:1">
      <c r="A1139" s="80"/>
    </row>
    <row r="1140" spans="1:1">
      <c r="A1140" s="80"/>
    </row>
    <row r="1141" spans="1:1">
      <c r="A1141" s="80"/>
    </row>
    <row r="1142" spans="1:1">
      <c r="A1142" s="80"/>
    </row>
    <row r="1143" spans="1:1">
      <c r="A1143" s="80"/>
    </row>
    <row r="1144" spans="1:1">
      <c r="A1144" s="80"/>
    </row>
    <row r="1145" spans="1:1">
      <c r="A1145" s="80"/>
    </row>
    <row r="1146" spans="1:1">
      <c r="A1146" s="80"/>
    </row>
    <row r="1147" spans="1:1">
      <c r="A1147" s="80"/>
    </row>
    <row r="1148" spans="1:1">
      <c r="A1148" s="80"/>
    </row>
    <row r="1149" spans="1:1">
      <c r="A1149" s="80"/>
    </row>
    <row r="1150" spans="1:1">
      <c r="A1150" s="80"/>
    </row>
    <row r="1151" spans="1:1">
      <c r="A1151" s="80"/>
    </row>
    <row r="1152" spans="1:1">
      <c r="A1152" s="80"/>
    </row>
    <row r="1153" spans="1:1">
      <c r="A1153" s="80"/>
    </row>
    <row r="1154" spans="1:1">
      <c r="A1154" s="80"/>
    </row>
    <row r="1155" spans="1:1">
      <c r="A1155" s="80"/>
    </row>
    <row r="1156" spans="1:1">
      <c r="A1156" s="80"/>
    </row>
    <row r="1157" spans="1:1">
      <c r="A1157" s="80"/>
    </row>
    <row r="1158" spans="1:1">
      <c r="A1158" s="80"/>
    </row>
    <row r="1159" spans="1:1">
      <c r="A1159" s="80"/>
    </row>
    <row r="1160" spans="1:1">
      <c r="A1160" s="80"/>
    </row>
    <row r="1161" spans="1:1">
      <c r="A1161" s="80"/>
    </row>
    <row r="1162" spans="1:1">
      <c r="A1162" s="80"/>
    </row>
    <row r="1163" spans="1:1">
      <c r="A1163" s="80"/>
    </row>
    <row r="1164" spans="1:1">
      <c r="A1164" s="80"/>
    </row>
    <row r="1165" spans="1:1">
      <c r="A1165" s="80"/>
    </row>
    <row r="1166" spans="1:1">
      <c r="A1166" s="80"/>
    </row>
    <row r="1167" spans="1:1">
      <c r="A1167" s="80"/>
    </row>
    <row r="1168" spans="1:1">
      <c r="A1168" s="80"/>
    </row>
    <row r="1169" spans="1:1">
      <c r="A1169" s="80"/>
    </row>
    <row r="1170" spans="1:1">
      <c r="A1170" s="80"/>
    </row>
    <row r="1171" spans="1:1">
      <c r="A1171" s="80"/>
    </row>
    <row r="1172" spans="1:1">
      <c r="A1172" s="80"/>
    </row>
    <row r="1173" spans="1:1">
      <c r="A1173" s="80"/>
    </row>
    <row r="1174" spans="1:1">
      <c r="A1174" s="80"/>
    </row>
    <row r="1175" spans="1:1">
      <c r="A1175" s="80"/>
    </row>
    <row r="1176" spans="1:1">
      <c r="A1176" s="80"/>
    </row>
    <row r="1177" spans="1:1">
      <c r="A1177" s="80"/>
    </row>
    <row r="1178" spans="1:1">
      <c r="A1178" s="80"/>
    </row>
    <row r="1179" spans="1:1">
      <c r="A1179" s="80"/>
    </row>
    <row r="1180" spans="1:1">
      <c r="A1180" s="80"/>
    </row>
    <row r="1181" spans="1:1">
      <c r="A1181" s="80"/>
    </row>
    <row r="1182" spans="1:1">
      <c r="A1182" s="80"/>
    </row>
    <row r="1183" spans="1:1">
      <c r="A1183" s="80"/>
    </row>
    <row r="1184" spans="1:1">
      <c r="A1184" s="80"/>
    </row>
    <row r="1185" spans="1:1">
      <c r="A1185" s="80"/>
    </row>
    <row r="1186" spans="1:1">
      <c r="A1186" s="80"/>
    </row>
    <row r="1187" spans="1:1">
      <c r="A1187" s="80"/>
    </row>
    <row r="1188" spans="1:1">
      <c r="A1188" s="80"/>
    </row>
    <row r="1189" spans="1:1">
      <c r="A1189" s="80"/>
    </row>
    <row r="1190" spans="1:1">
      <c r="A1190" s="80"/>
    </row>
    <row r="1191" spans="1:1">
      <c r="A1191" s="80"/>
    </row>
    <row r="1192" spans="1:1">
      <c r="A1192" s="80"/>
    </row>
    <row r="1193" spans="1:1">
      <c r="A1193" s="80"/>
    </row>
    <row r="1194" spans="1:1">
      <c r="A1194" s="80"/>
    </row>
    <row r="1195" spans="1:1">
      <c r="A1195" s="80"/>
    </row>
    <row r="1196" spans="1:1">
      <c r="A1196" s="80"/>
    </row>
    <row r="1197" spans="1:1">
      <c r="A1197" s="80"/>
    </row>
    <row r="1198" spans="1:1">
      <c r="A1198" s="80"/>
    </row>
    <row r="1199" spans="1:1">
      <c r="A1199" s="80"/>
    </row>
    <row r="1200" spans="1:1">
      <c r="A1200" s="80"/>
    </row>
    <row r="1201" spans="1:1">
      <c r="A1201" s="80"/>
    </row>
    <row r="1202" spans="1:1">
      <c r="A1202" s="80"/>
    </row>
    <row r="1203" spans="1:1">
      <c r="A1203" s="80"/>
    </row>
    <row r="1204" spans="1:1">
      <c r="A1204" s="80"/>
    </row>
    <row r="1205" spans="1:1">
      <c r="A1205" s="80"/>
    </row>
    <row r="1206" spans="1:1">
      <c r="A1206" s="80"/>
    </row>
    <row r="1207" spans="1:1">
      <c r="A1207" s="80"/>
    </row>
    <row r="1208" spans="1:1">
      <c r="A1208" s="80"/>
    </row>
    <row r="1209" spans="1:1">
      <c r="A1209" s="80"/>
    </row>
    <row r="1210" spans="1:1">
      <c r="A1210" s="80"/>
    </row>
    <row r="1211" spans="1:1">
      <c r="A1211" s="80"/>
    </row>
    <row r="1212" spans="1:1">
      <c r="A1212" s="80"/>
    </row>
    <row r="1213" spans="1:1">
      <c r="A1213" s="80"/>
    </row>
    <row r="1214" spans="1:1">
      <c r="A1214" s="80"/>
    </row>
    <row r="1215" spans="1:1">
      <c r="A1215" s="80"/>
    </row>
    <row r="1216" spans="1:1">
      <c r="A1216" s="80"/>
    </row>
    <row r="1217" spans="1:1">
      <c r="A1217" s="80"/>
    </row>
    <row r="1218" spans="1:1">
      <c r="A1218" s="80"/>
    </row>
    <row r="1219" spans="1:1">
      <c r="A1219" s="80"/>
    </row>
    <row r="1220" spans="1:1">
      <c r="A1220" s="80"/>
    </row>
    <row r="1221" spans="1:1">
      <c r="A1221" s="80"/>
    </row>
    <row r="1222" spans="1:1">
      <c r="A1222" s="80"/>
    </row>
    <row r="1223" spans="1:1">
      <c r="A1223" s="80"/>
    </row>
    <row r="1224" spans="1:1">
      <c r="A1224" s="80"/>
    </row>
    <row r="1225" spans="1:1">
      <c r="A1225" s="80"/>
    </row>
    <row r="1226" spans="1:1">
      <c r="A1226" s="80"/>
    </row>
    <row r="1227" spans="1:1">
      <c r="A1227" s="80"/>
    </row>
    <row r="1228" spans="1:1">
      <c r="A1228" s="80"/>
    </row>
    <row r="1229" spans="1:1">
      <c r="A1229" s="80"/>
    </row>
    <row r="1230" spans="1:1">
      <c r="A1230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.1" top="0.41" bottom="0.1" header="0.17" footer="0.32"/>
  <pageSetup paperSize="9" scale="71" fitToWidth="0" fitToHeight="0" orientation="landscape" r:id="rId1"/>
  <headerFooter alignWithMargins="0">
    <oddFooter>Page &amp;P of &amp;N</oddFooter>
  </headerFooter>
  <rowBreaks count="1" manualBreakCount="1">
    <brk id="56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1109"/>
  <sheetViews>
    <sheetView showRuler="0" zoomScaleSheetLayoutView="100" workbookViewId="0">
      <pane xSplit="1" ySplit="8" topLeftCell="B33" activePane="bottomRight" state="frozen"/>
      <selection activeCell="A1459" sqref="A1459"/>
      <selection pane="topRight" activeCell="A1459" sqref="A1459"/>
      <selection pane="bottomLeft" activeCell="A1459" sqref="A1459"/>
      <selection pane="bottomRight" activeCell="E39" sqref="E39"/>
    </sheetView>
  </sheetViews>
  <sheetFormatPr defaultRowHeight="12.75"/>
  <cols>
    <col min="1" max="1" width="35.1406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101</v>
      </c>
      <c r="B10" s="17">
        <f t="shared" ref="B10:P10" si="0">+B11+B15</f>
        <v>105847231</v>
      </c>
      <c r="C10" s="17">
        <f t="shared" si="0"/>
        <v>23275757</v>
      </c>
      <c r="D10" s="17">
        <f t="shared" si="0"/>
        <v>19</v>
      </c>
      <c r="E10" s="17">
        <f t="shared" si="0"/>
        <v>13389628</v>
      </c>
      <c r="F10" s="17">
        <f t="shared" si="0"/>
        <v>142512635</v>
      </c>
      <c r="G10" s="17">
        <f t="shared" si="0"/>
        <v>105659154</v>
      </c>
      <c r="H10" s="17">
        <f t="shared" si="0"/>
        <v>21033627</v>
      </c>
      <c r="I10" s="17"/>
      <c r="J10" s="17">
        <f t="shared" si="0"/>
        <v>10180722</v>
      </c>
      <c r="K10" s="17">
        <f t="shared" si="0"/>
        <v>136873503</v>
      </c>
      <c r="L10" s="17">
        <f t="shared" si="0"/>
        <v>188077</v>
      </c>
      <c r="M10" s="17">
        <f t="shared" si="0"/>
        <v>2242130</v>
      </c>
      <c r="N10" s="17">
        <f t="shared" si="0"/>
        <v>19</v>
      </c>
      <c r="O10" s="17">
        <f t="shared" si="0"/>
        <v>3208906</v>
      </c>
      <c r="P10" s="17">
        <f t="shared" si="0"/>
        <v>5639132</v>
      </c>
      <c r="Q10" s="18">
        <f>+K10/F10</f>
        <v>0.96043065234180813</v>
      </c>
    </row>
    <row r="11" spans="1:18" ht="12.75" customHeight="1">
      <c r="A11" s="41" t="s">
        <v>15</v>
      </c>
      <c r="B11" s="20">
        <f t="shared" ref="B11:P11" si="1">+B12+B13+B14</f>
        <v>105847231</v>
      </c>
      <c r="C11" s="20">
        <f t="shared" si="1"/>
        <v>22464123</v>
      </c>
      <c r="D11" s="20">
        <f t="shared" si="1"/>
        <v>19</v>
      </c>
      <c r="E11" s="20">
        <f t="shared" si="1"/>
        <v>13124810</v>
      </c>
      <c r="F11" s="20">
        <f t="shared" si="1"/>
        <v>141436183</v>
      </c>
      <c r="G11" s="20">
        <f t="shared" si="1"/>
        <v>105659154</v>
      </c>
      <c r="H11" s="20">
        <f t="shared" si="1"/>
        <v>20390474</v>
      </c>
      <c r="I11" s="20"/>
      <c r="J11" s="20">
        <f t="shared" si="1"/>
        <v>10087702</v>
      </c>
      <c r="K11" s="20">
        <f t="shared" si="1"/>
        <v>136137330</v>
      </c>
      <c r="L11" s="20">
        <f t="shared" si="1"/>
        <v>188077</v>
      </c>
      <c r="M11" s="20">
        <f t="shared" si="1"/>
        <v>2073649</v>
      </c>
      <c r="N11" s="20">
        <f t="shared" si="1"/>
        <v>19</v>
      </c>
      <c r="O11" s="20">
        <f t="shared" si="1"/>
        <v>3037108</v>
      </c>
      <c r="P11" s="21">
        <f t="shared" si="1"/>
        <v>5298853</v>
      </c>
      <c r="Q11" s="18"/>
    </row>
    <row r="12" spans="1:18" ht="12.75" customHeight="1">
      <c r="A12" s="22" t="s">
        <v>16</v>
      </c>
      <c r="B12" s="23">
        <f t="shared" ref="B12:E14" si="2">+B21+B30+B39+B48+B57+B66+B75+B84+B93+B102</f>
        <v>54749863</v>
      </c>
      <c r="C12" s="23">
        <f t="shared" si="2"/>
        <v>21588733</v>
      </c>
      <c r="D12" s="23">
        <f t="shared" si="2"/>
        <v>19</v>
      </c>
      <c r="E12" s="23">
        <f t="shared" si="2"/>
        <v>5726456</v>
      </c>
      <c r="F12" s="24">
        <f>SUM(B12:E12)</f>
        <v>82065071</v>
      </c>
      <c r="G12" s="23">
        <f t="shared" ref="G12:J14" si="3">+G21+G30+G39+G48+G57+G66+G75+G84+G93+G102</f>
        <v>54632370</v>
      </c>
      <c r="H12" s="23">
        <f t="shared" si="3"/>
        <v>19632131</v>
      </c>
      <c r="I12" s="23">
        <f t="shared" si="3"/>
        <v>0</v>
      </c>
      <c r="J12" s="23">
        <f t="shared" si="3"/>
        <v>5143270</v>
      </c>
      <c r="K12" s="24">
        <f>SUM(G12:J12)</f>
        <v>79407771</v>
      </c>
      <c r="L12" s="23">
        <f t="shared" ref="L12:O14" si="4">+L21+L30+L39+L48+L57+L66+L75+L84+L93+L102</f>
        <v>117493</v>
      </c>
      <c r="M12" s="23">
        <f t="shared" si="4"/>
        <v>1956602</v>
      </c>
      <c r="N12" s="23">
        <f t="shared" si="4"/>
        <v>19</v>
      </c>
      <c r="O12" s="23">
        <f t="shared" si="4"/>
        <v>583186</v>
      </c>
      <c r="P12" s="26">
        <f>SUM(L12:O12)</f>
        <v>2657300</v>
      </c>
      <c r="Q12" s="18"/>
    </row>
    <row r="13" spans="1:18" ht="12.75" customHeight="1">
      <c r="A13" s="22" t="s">
        <v>17</v>
      </c>
      <c r="B13" s="23">
        <f t="shared" si="2"/>
        <v>50907895</v>
      </c>
      <c r="C13" s="23">
        <f t="shared" si="2"/>
        <v>137410</v>
      </c>
      <c r="D13" s="23">
        <f t="shared" si="2"/>
        <v>0</v>
      </c>
      <c r="E13" s="23">
        <f t="shared" si="2"/>
        <v>4953432</v>
      </c>
      <c r="F13" s="24">
        <f>SUM(B13:E13)</f>
        <v>55998737</v>
      </c>
      <c r="G13" s="23">
        <f t="shared" si="3"/>
        <v>50846417</v>
      </c>
      <c r="H13" s="23">
        <f t="shared" si="3"/>
        <v>20363</v>
      </c>
      <c r="I13" s="23">
        <f t="shared" si="3"/>
        <v>0</v>
      </c>
      <c r="J13" s="23">
        <f t="shared" si="3"/>
        <v>4944432</v>
      </c>
      <c r="K13" s="24">
        <f>SUM(G13:J13)</f>
        <v>55811212</v>
      </c>
      <c r="L13" s="23">
        <f t="shared" si="4"/>
        <v>61478</v>
      </c>
      <c r="M13" s="23">
        <f t="shared" si="4"/>
        <v>117047</v>
      </c>
      <c r="N13" s="23">
        <f t="shared" si="4"/>
        <v>0</v>
      </c>
      <c r="O13" s="23">
        <f t="shared" si="4"/>
        <v>9000</v>
      </c>
      <c r="P13" s="26">
        <f>SUM(L13:O13)</f>
        <v>187525</v>
      </c>
      <c r="Q13" s="18"/>
    </row>
    <row r="14" spans="1:18" ht="12.75" customHeight="1">
      <c r="A14" s="22" t="s">
        <v>18</v>
      </c>
      <c r="B14" s="23">
        <f t="shared" si="2"/>
        <v>189473</v>
      </c>
      <c r="C14" s="23">
        <f t="shared" si="2"/>
        <v>737980</v>
      </c>
      <c r="D14" s="23">
        <f t="shared" si="2"/>
        <v>0</v>
      </c>
      <c r="E14" s="23">
        <f t="shared" si="2"/>
        <v>2444922</v>
      </c>
      <c r="F14" s="24">
        <f>SUM(B14:E14)</f>
        <v>3372375</v>
      </c>
      <c r="G14" s="23">
        <f t="shared" si="3"/>
        <v>180367</v>
      </c>
      <c r="H14" s="23">
        <f t="shared" si="3"/>
        <v>737980</v>
      </c>
      <c r="I14" s="23">
        <f t="shared" si="3"/>
        <v>0</v>
      </c>
      <c r="J14" s="23">
        <f t="shared" si="3"/>
        <v>0</v>
      </c>
      <c r="K14" s="24">
        <f>SUM(G14:J14)</f>
        <v>918347</v>
      </c>
      <c r="L14" s="23">
        <f t="shared" si="4"/>
        <v>9106</v>
      </c>
      <c r="M14" s="23">
        <f t="shared" si="4"/>
        <v>0</v>
      </c>
      <c r="N14" s="23">
        <f t="shared" si="4"/>
        <v>0</v>
      </c>
      <c r="O14" s="23">
        <f t="shared" si="4"/>
        <v>2444922</v>
      </c>
      <c r="P14" s="26">
        <f>SUM(L14:O14)</f>
        <v>2454028</v>
      </c>
      <c r="Q14" s="18"/>
    </row>
    <row r="15" spans="1:18" ht="12.75" customHeight="1">
      <c r="A15" s="22" t="s">
        <v>19</v>
      </c>
      <c r="B15" s="44">
        <f t="shared" ref="B15:P15" si="5">+B16+B17</f>
        <v>0</v>
      </c>
      <c r="C15" s="44">
        <f t="shared" si="5"/>
        <v>811634</v>
      </c>
      <c r="D15" s="44">
        <f t="shared" si="5"/>
        <v>0</v>
      </c>
      <c r="E15" s="45">
        <f t="shared" si="5"/>
        <v>264818</v>
      </c>
      <c r="F15" s="44">
        <f t="shared" si="5"/>
        <v>1076452</v>
      </c>
      <c r="G15" s="44">
        <f t="shared" si="5"/>
        <v>0</v>
      </c>
      <c r="H15" s="44">
        <f t="shared" si="5"/>
        <v>643153</v>
      </c>
      <c r="I15" s="44"/>
      <c r="J15" s="45">
        <f t="shared" si="5"/>
        <v>93020</v>
      </c>
      <c r="K15" s="44">
        <f t="shared" si="5"/>
        <v>736173</v>
      </c>
      <c r="L15" s="44">
        <f t="shared" si="5"/>
        <v>0</v>
      </c>
      <c r="M15" s="44">
        <f t="shared" si="5"/>
        <v>168481</v>
      </c>
      <c r="N15" s="44"/>
      <c r="O15" s="44">
        <f t="shared" si="5"/>
        <v>171798</v>
      </c>
      <c r="P15" s="45">
        <f t="shared" si="5"/>
        <v>340279</v>
      </c>
      <c r="Q15" s="18"/>
    </row>
    <row r="16" spans="1:18" ht="12.75" customHeight="1">
      <c r="A16" s="23" t="s">
        <v>20</v>
      </c>
      <c r="B16" s="23">
        <f t="shared" ref="B16:E17" si="6">+B25+B34+B43+B52+B61+B70+B79+B88+B97+B106</f>
        <v>0</v>
      </c>
      <c r="C16" s="23">
        <f t="shared" si="6"/>
        <v>727219</v>
      </c>
      <c r="D16" s="23">
        <f t="shared" si="6"/>
        <v>0</v>
      </c>
      <c r="E16" s="23">
        <f t="shared" si="6"/>
        <v>93346</v>
      </c>
      <c r="F16" s="24">
        <f>SUM(B16:E16)</f>
        <v>820565</v>
      </c>
      <c r="G16" s="23">
        <f t="shared" ref="G16:J17" si="7">+G25+G34+G43+G52+G61+G70+G79+G88+G97+G106</f>
        <v>0</v>
      </c>
      <c r="H16" s="23">
        <f t="shared" si="7"/>
        <v>577016</v>
      </c>
      <c r="I16" s="23">
        <f t="shared" si="7"/>
        <v>0</v>
      </c>
      <c r="J16" s="23">
        <f t="shared" si="7"/>
        <v>93020</v>
      </c>
      <c r="K16" s="24">
        <f>SUM(G16:J16)</f>
        <v>670036</v>
      </c>
      <c r="L16" s="23">
        <f t="shared" ref="L16:O17" si="8">+L25+L34+L43+L52+L61+L70+L79+L88+L97+L106</f>
        <v>0</v>
      </c>
      <c r="M16" s="23">
        <f t="shared" si="8"/>
        <v>150203</v>
      </c>
      <c r="N16" s="23">
        <f t="shared" si="8"/>
        <v>0</v>
      </c>
      <c r="O16" s="23">
        <f t="shared" si="8"/>
        <v>326</v>
      </c>
      <c r="P16" s="26">
        <f>SUM(L16:O16)</f>
        <v>150529</v>
      </c>
      <c r="Q16" s="18"/>
    </row>
    <row r="17" spans="1:17" ht="12.75" customHeight="1">
      <c r="A17" s="23" t="s">
        <v>21</v>
      </c>
      <c r="B17" s="23">
        <f t="shared" si="6"/>
        <v>0</v>
      </c>
      <c r="C17" s="23">
        <f t="shared" si="6"/>
        <v>84415</v>
      </c>
      <c r="D17" s="23">
        <f t="shared" si="6"/>
        <v>0</v>
      </c>
      <c r="E17" s="23">
        <f t="shared" si="6"/>
        <v>171472</v>
      </c>
      <c r="F17" s="24">
        <f>SUM(B17:E17)</f>
        <v>255887</v>
      </c>
      <c r="G17" s="23">
        <f t="shared" si="7"/>
        <v>0</v>
      </c>
      <c r="H17" s="23">
        <f t="shared" si="7"/>
        <v>66137</v>
      </c>
      <c r="I17" s="23">
        <f t="shared" si="7"/>
        <v>0</v>
      </c>
      <c r="J17" s="23">
        <f t="shared" si="7"/>
        <v>0</v>
      </c>
      <c r="K17" s="24">
        <f>SUM(G17:J17)</f>
        <v>66137</v>
      </c>
      <c r="L17" s="23">
        <f t="shared" si="8"/>
        <v>0</v>
      </c>
      <c r="M17" s="23">
        <f t="shared" si="8"/>
        <v>18278</v>
      </c>
      <c r="N17" s="23">
        <f t="shared" si="8"/>
        <v>0</v>
      </c>
      <c r="O17" s="23">
        <f t="shared" si="8"/>
        <v>171472</v>
      </c>
      <c r="P17" s="26">
        <f>SUM(L17:O17)</f>
        <v>189750</v>
      </c>
      <c r="Q17" s="18"/>
    </row>
    <row r="18" spans="1:17" ht="12.75" customHeight="1">
      <c r="A18" s="22"/>
      <c r="B18" s="25"/>
      <c r="C18" s="25"/>
      <c r="D18" s="25"/>
      <c r="E18" s="43"/>
      <c r="F18" s="24"/>
      <c r="G18" s="47"/>
      <c r="H18" s="47"/>
      <c r="I18" s="47"/>
      <c r="J18" s="47"/>
      <c r="K18" s="32"/>
      <c r="L18" s="25"/>
      <c r="M18" s="25"/>
      <c r="N18" s="25"/>
      <c r="O18" s="25"/>
      <c r="P18" s="26"/>
      <c r="Q18" s="18"/>
    </row>
    <row r="19" spans="1:17" ht="12.75" customHeight="1">
      <c r="A19" s="33" t="s">
        <v>31</v>
      </c>
      <c r="B19" s="17">
        <f t="shared" ref="B19:K19" si="9">+B20+B24</f>
        <v>116780</v>
      </c>
      <c r="C19" s="17">
        <f t="shared" si="9"/>
        <v>413698</v>
      </c>
      <c r="D19" s="17">
        <f t="shared" si="9"/>
        <v>0</v>
      </c>
      <c r="E19" s="17">
        <f t="shared" si="9"/>
        <v>322401</v>
      </c>
      <c r="F19" s="17">
        <f t="shared" si="9"/>
        <v>852879</v>
      </c>
      <c r="G19" s="17">
        <f t="shared" si="9"/>
        <v>116019</v>
      </c>
      <c r="H19" s="17">
        <f t="shared" si="9"/>
        <v>281114</v>
      </c>
      <c r="I19" s="17">
        <f t="shared" si="9"/>
        <v>0</v>
      </c>
      <c r="J19" s="17">
        <f t="shared" si="9"/>
        <v>133167</v>
      </c>
      <c r="K19" s="17">
        <f t="shared" si="9"/>
        <v>530300</v>
      </c>
      <c r="L19" s="17">
        <f>+L20+L24</f>
        <v>761</v>
      </c>
      <c r="M19" s="17">
        <f>+M20+M24</f>
        <v>132584</v>
      </c>
      <c r="N19" s="17"/>
      <c r="O19" s="17">
        <f>+O20+O24</f>
        <v>189234</v>
      </c>
      <c r="P19" s="17">
        <f>+P20+P24</f>
        <v>322579</v>
      </c>
      <c r="Q19" s="18">
        <f>+K19/F19</f>
        <v>0.62177635983533419</v>
      </c>
    </row>
    <row r="20" spans="1:17" ht="12.75" customHeight="1">
      <c r="A20" s="41" t="s">
        <v>15</v>
      </c>
      <c r="B20" s="20">
        <f t="shared" ref="B20:K20" si="10">+B21+B22+B23</f>
        <v>116780</v>
      </c>
      <c r="C20" s="20">
        <f t="shared" si="10"/>
        <v>382285</v>
      </c>
      <c r="D20" s="20">
        <f t="shared" si="10"/>
        <v>0</v>
      </c>
      <c r="E20" s="20">
        <f t="shared" si="10"/>
        <v>232500</v>
      </c>
      <c r="F20" s="20">
        <f t="shared" si="10"/>
        <v>731565</v>
      </c>
      <c r="G20" s="20">
        <f t="shared" si="10"/>
        <v>116019</v>
      </c>
      <c r="H20" s="20">
        <f t="shared" si="10"/>
        <v>249724</v>
      </c>
      <c r="I20" s="20">
        <f t="shared" si="10"/>
        <v>0</v>
      </c>
      <c r="J20" s="20">
        <f t="shared" si="10"/>
        <v>43266</v>
      </c>
      <c r="K20" s="20">
        <f t="shared" si="10"/>
        <v>409009</v>
      </c>
      <c r="L20" s="20">
        <f>+L21+L22+L23</f>
        <v>761</v>
      </c>
      <c r="M20" s="20">
        <f>+M21+M22+M23</f>
        <v>132561</v>
      </c>
      <c r="N20" s="20"/>
      <c r="O20" s="20">
        <f>+O21+O22+O23</f>
        <v>189234</v>
      </c>
      <c r="P20" s="21">
        <f>+P21+P22+P23</f>
        <v>322556</v>
      </c>
      <c r="Q20" s="18"/>
    </row>
    <row r="21" spans="1:17" ht="12.75" customHeight="1">
      <c r="A21" s="22" t="s">
        <v>16</v>
      </c>
      <c r="B21" s="29">
        <v>102205</v>
      </c>
      <c r="C21" s="29">
        <v>382285</v>
      </c>
      <c r="D21" s="29"/>
      <c r="E21" s="30">
        <v>232500</v>
      </c>
      <c r="F21" s="24">
        <f>SUM(B21:E21)</f>
        <v>716990</v>
      </c>
      <c r="G21" s="29">
        <v>102165</v>
      </c>
      <c r="H21" s="29">
        <f>127454+58229+32503+31538</f>
        <v>249724</v>
      </c>
      <c r="I21" s="29"/>
      <c r="J21" s="29">
        <v>43266</v>
      </c>
      <c r="K21" s="24">
        <f>SUM(G21:J21)</f>
        <v>395155</v>
      </c>
      <c r="L21" s="25">
        <f t="shared" ref="L21:M23" si="11">+B21-G21</f>
        <v>40</v>
      </c>
      <c r="M21" s="25">
        <f t="shared" si="11"/>
        <v>132561</v>
      </c>
      <c r="N21" s="25"/>
      <c r="O21" s="25">
        <f>+E21-J21</f>
        <v>189234</v>
      </c>
      <c r="P21" s="26">
        <f>SUM(L21:O21)</f>
        <v>321835</v>
      </c>
      <c r="Q21" s="18"/>
    </row>
    <row r="22" spans="1:17" ht="12.75" customHeight="1">
      <c r="A22" s="22" t="s">
        <v>17</v>
      </c>
      <c r="B22" s="29">
        <v>5652</v>
      </c>
      <c r="C22" s="34"/>
      <c r="D22" s="34"/>
      <c r="E22" s="30"/>
      <c r="F22" s="24">
        <f>SUM(B22:E22)</f>
        <v>5652</v>
      </c>
      <c r="G22" s="29">
        <v>5501</v>
      </c>
      <c r="H22" s="29"/>
      <c r="I22" s="29"/>
      <c r="J22" s="34"/>
      <c r="K22" s="24">
        <f>SUM(G22:J22)</f>
        <v>5501</v>
      </c>
      <c r="L22" s="25">
        <f t="shared" si="11"/>
        <v>151</v>
      </c>
      <c r="M22" s="25">
        <f t="shared" si="11"/>
        <v>0</v>
      </c>
      <c r="N22" s="25"/>
      <c r="O22" s="25">
        <f>+E22-J22</f>
        <v>0</v>
      </c>
      <c r="P22" s="26">
        <f>SUM(L22:O22)</f>
        <v>151</v>
      </c>
      <c r="Q22" s="18"/>
    </row>
    <row r="23" spans="1:17" ht="12.75" customHeight="1">
      <c r="A23" s="22" t="s">
        <v>18</v>
      </c>
      <c r="B23" s="29">
        <v>8923</v>
      </c>
      <c r="C23" s="29"/>
      <c r="D23" s="29"/>
      <c r="E23" s="30"/>
      <c r="F23" s="24">
        <f>SUM(B23:E23)</f>
        <v>8923</v>
      </c>
      <c r="G23" s="29">
        <v>8353</v>
      </c>
      <c r="H23" s="29"/>
      <c r="I23" s="29"/>
      <c r="J23" s="34"/>
      <c r="K23" s="24">
        <f>SUM(G23:J23)</f>
        <v>8353</v>
      </c>
      <c r="L23" s="25">
        <f t="shared" si="11"/>
        <v>570</v>
      </c>
      <c r="M23" s="25">
        <f t="shared" si="11"/>
        <v>0</v>
      </c>
      <c r="N23" s="25"/>
      <c r="O23" s="25">
        <f>+E23-J23</f>
        <v>0</v>
      </c>
      <c r="P23" s="26">
        <f>SUM(L23:O23)</f>
        <v>570</v>
      </c>
      <c r="Q23" s="18"/>
    </row>
    <row r="24" spans="1:17" ht="12.75" customHeight="1">
      <c r="A24" s="22" t="s">
        <v>19</v>
      </c>
      <c r="B24" s="27">
        <f t="shared" ref="B24:K24" si="12">+B25+B26</f>
        <v>0</v>
      </c>
      <c r="C24" s="27">
        <f t="shared" si="12"/>
        <v>31413</v>
      </c>
      <c r="D24" s="27">
        <f t="shared" si="12"/>
        <v>0</v>
      </c>
      <c r="E24" s="27">
        <f t="shared" si="12"/>
        <v>89901</v>
      </c>
      <c r="F24" s="27">
        <f t="shared" si="12"/>
        <v>121314</v>
      </c>
      <c r="G24" s="27">
        <f t="shared" si="12"/>
        <v>0</v>
      </c>
      <c r="H24" s="27">
        <f t="shared" si="12"/>
        <v>31390</v>
      </c>
      <c r="I24" s="27">
        <f t="shared" si="12"/>
        <v>0</v>
      </c>
      <c r="J24" s="27">
        <f t="shared" si="12"/>
        <v>89901</v>
      </c>
      <c r="K24" s="27">
        <f t="shared" si="12"/>
        <v>121291</v>
      </c>
      <c r="L24" s="27">
        <f>+L25+L26</f>
        <v>0</v>
      </c>
      <c r="M24" s="27">
        <f>+M25+M26</f>
        <v>23</v>
      </c>
      <c r="N24" s="27"/>
      <c r="O24" s="27">
        <f>+O25+O26</f>
        <v>0</v>
      </c>
      <c r="P24" s="28">
        <f>+P25+P26</f>
        <v>23</v>
      </c>
      <c r="Q24" s="18"/>
    </row>
    <row r="25" spans="1:17" ht="12.75" customHeight="1">
      <c r="A25" s="23" t="s">
        <v>20</v>
      </c>
      <c r="B25" s="29"/>
      <c r="C25" s="29">
        <v>31413</v>
      </c>
      <c r="D25" s="29"/>
      <c r="E25" s="30">
        <f>89801+100</f>
        <v>89901</v>
      </c>
      <c r="F25" s="24">
        <f>SUM(B25:E25)</f>
        <v>121314</v>
      </c>
      <c r="G25" s="29"/>
      <c r="H25" s="29">
        <v>31390</v>
      </c>
      <c r="I25" s="29"/>
      <c r="J25" s="29">
        <v>89901</v>
      </c>
      <c r="K25" s="24">
        <f>SUM(G25:J25)</f>
        <v>121291</v>
      </c>
      <c r="L25" s="25">
        <f>+B25-G25</f>
        <v>0</v>
      </c>
      <c r="M25" s="25">
        <f>+C25-H25</f>
        <v>23</v>
      </c>
      <c r="N25" s="25"/>
      <c r="O25" s="25">
        <f>+E25-J25</f>
        <v>0</v>
      </c>
      <c r="P25" s="26">
        <f>SUM(L25:O25)</f>
        <v>23</v>
      </c>
      <c r="Q25" s="18"/>
    </row>
    <row r="26" spans="1:17" ht="12.75" customHeight="1">
      <c r="A26" s="23" t="s">
        <v>21</v>
      </c>
      <c r="B26" s="29"/>
      <c r="C26" s="29"/>
      <c r="D26" s="29"/>
      <c r="E26" s="30"/>
      <c r="F26" s="24">
        <f>SUM(B26:E26)</f>
        <v>0</v>
      </c>
      <c r="G26" s="29"/>
      <c r="H26" s="29"/>
      <c r="I26" s="29"/>
      <c r="J26" s="29"/>
      <c r="K26" s="24">
        <f>SUM(G26:J26)</f>
        <v>0</v>
      </c>
      <c r="L26" s="25">
        <f>+B26-G26</f>
        <v>0</v>
      </c>
      <c r="M26" s="25">
        <f>+C26-H26</f>
        <v>0</v>
      </c>
      <c r="N26" s="25"/>
      <c r="O26" s="25">
        <f>+E26-J26</f>
        <v>0</v>
      </c>
      <c r="P26" s="26">
        <f>SUM(L26:O26)</f>
        <v>0</v>
      </c>
      <c r="Q26" s="18"/>
    </row>
    <row r="27" spans="1:17" ht="12.75" customHeight="1">
      <c r="A27" s="33"/>
      <c r="B27" s="25"/>
      <c r="C27" s="25"/>
      <c r="D27" s="25"/>
      <c r="E27" s="43"/>
      <c r="F27" s="24"/>
      <c r="G27" s="47"/>
      <c r="H27" s="47"/>
      <c r="I27" s="47"/>
      <c r="J27" s="47"/>
      <c r="K27" s="32"/>
      <c r="L27" s="25"/>
      <c r="M27" s="25"/>
      <c r="N27" s="25"/>
      <c r="O27" s="25"/>
      <c r="P27" s="26"/>
      <c r="Q27" s="18"/>
    </row>
    <row r="28" spans="1:17" ht="12.75" customHeight="1">
      <c r="A28" s="33" t="s">
        <v>102</v>
      </c>
      <c r="B28" s="17">
        <f t="shared" ref="B28:K28" si="13">+B29+B33</f>
        <v>220440</v>
      </c>
      <c r="C28" s="17">
        <f t="shared" si="13"/>
        <v>744741</v>
      </c>
      <c r="D28" s="17">
        <f t="shared" si="13"/>
        <v>0</v>
      </c>
      <c r="E28" s="17">
        <f t="shared" si="13"/>
        <v>40361</v>
      </c>
      <c r="F28" s="17">
        <f t="shared" si="13"/>
        <v>1005542</v>
      </c>
      <c r="G28" s="17">
        <f t="shared" si="13"/>
        <v>219549</v>
      </c>
      <c r="H28" s="17">
        <f t="shared" si="13"/>
        <v>627057</v>
      </c>
      <c r="I28" s="17">
        <f t="shared" si="13"/>
        <v>0</v>
      </c>
      <c r="J28" s="17">
        <f t="shared" si="13"/>
        <v>40023</v>
      </c>
      <c r="K28" s="17">
        <f t="shared" si="13"/>
        <v>886629</v>
      </c>
      <c r="L28" s="17">
        <f>+L29+L33</f>
        <v>891</v>
      </c>
      <c r="M28" s="17">
        <f>+M29+M33</f>
        <v>117684</v>
      </c>
      <c r="N28" s="17"/>
      <c r="O28" s="17">
        <f>+O29+O33</f>
        <v>338</v>
      </c>
      <c r="P28" s="17">
        <f>+P29+P33</f>
        <v>118913</v>
      </c>
      <c r="Q28" s="18">
        <f>+K28/F28</f>
        <v>0.8817423837094821</v>
      </c>
    </row>
    <row r="29" spans="1:17" ht="12.75" customHeight="1">
      <c r="A29" s="41" t="s">
        <v>15</v>
      </c>
      <c r="B29" s="20">
        <f t="shared" ref="B29:K29" si="14">+B30+B31+B32</f>
        <v>220440</v>
      </c>
      <c r="C29" s="20">
        <f t="shared" si="14"/>
        <v>735551</v>
      </c>
      <c r="D29" s="20">
        <f t="shared" si="14"/>
        <v>0</v>
      </c>
      <c r="E29" s="20">
        <f t="shared" si="14"/>
        <v>40000</v>
      </c>
      <c r="F29" s="20">
        <f t="shared" si="14"/>
        <v>995991</v>
      </c>
      <c r="G29" s="20">
        <f t="shared" si="14"/>
        <v>219549</v>
      </c>
      <c r="H29" s="20">
        <f t="shared" si="14"/>
        <v>617867</v>
      </c>
      <c r="I29" s="20">
        <f t="shared" si="14"/>
        <v>0</v>
      </c>
      <c r="J29" s="20">
        <f t="shared" si="14"/>
        <v>39662</v>
      </c>
      <c r="K29" s="20">
        <f t="shared" si="14"/>
        <v>877078</v>
      </c>
      <c r="L29" s="20">
        <f>+L30+L31+L32</f>
        <v>891</v>
      </c>
      <c r="M29" s="20">
        <f>+M30+M31+M32</f>
        <v>117684</v>
      </c>
      <c r="N29" s="20"/>
      <c r="O29" s="20">
        <f>+O30+O31+O32</f>
        <v>338</v>
      </c>
      <c r="P29" s="21">
        <f>+P30+P31+P32</f>
        <v>118913</v>
      </c>
      <c r="Q29" s="18"/>
    </row>
    <row r="30" spans="1:17" ht="12.75" customHeight="1">
      <c r="A30" s="22" t="s">
        <v>16</v>
      </c>
      <c r="B30" s="29">
        <v>187705</v>
      </c>
      <c r="C30" s="29">
        <v>697326</v>
      </c>
      <c r="D30" s="29"/>
      <c r="E30" s="30">
        <v>40000</v>
      </c>
      <c r="F30" s="24">
        <f>SUM(B30:E30)</f>
        <v>925031</v>
      </c>
      <c r="G30" s="29">
        <v>186984</v>
      </c>
      <c r="H30" s="29">
        <v>579642</v>
      </c>
      <c r="I30" s="29"/>
      <c r="J30" s="29">
        <v>39662</v>
      </c>
      <c r="K30" s="24">
        <f>SUM(G30:J30)</f>
        <v>806288</v>
      </c>
      <c r="L30" s="25">
        <f t="shared" ref="L30:M32" si="15">+B30-G30</f>
        <v>721</v>
      </c>
      <c r="M30" s="25">
        <f t="shared" si="15"/>
        <v>117684</v>
      </c>
      <c r="N30" s="25"/>
      <c r="O30" s="25">
        <f>+E30-J30</f>
        <v>338</v>
      </c>
      <c r="P30" s="26">
        <f>SUM(L30:O30)</f>
        <v>118743</v>
      </c>
      <c r="Q30" s="18"/>
    </row>
    <row r="31" spans="1:17" ht="12.75" customHeight="1">
      <c r="A31" s="22" t="s">
        <v>17</v>
      </c>
      <c r="B31" s="29">
        <v>19571</v>
      </c>
      <c r="C31" s="34"/>
      <c r="D31" s="34"/>
      <c r="E31" s="30"/>
      <c r="F31" s="24">
        <f>SUM(B31:E31)</f>
        <v>19571</v>
      </c>
      <c r="G31" s="29">
        <v>19442</v>
      </c>
      <c r="H31" s="34"/>
      <c r="I31" s="34"/>
      <c r="J31" s="34"/>
      <c r="K31" s="24">
        <f>SUM(G31:J31)</f>
        <v>19442</v>
      </c>
      <c r="L31" s="25">
        <f t="shared" si="15"/>
        <v>129</v>
      </c>
      <c r="M31" s="25">
        <f t="shared" si="15"/>
        <v>0</v>
      </c>
      <c r="N31" s="25"/>
      <c r="O31" s="25">
        <f>+E31-J31</f>
        <v>0</v>
      </c>
      <c r="P31" s="26">
        <f>SUM(L31:O31)</f>
        <v>129</v>
      </c>
      <c r="Q31" s="18"/>
    </row>
    <row r="32" spans="1:17" ht="12.75" customHeight="1">
      <c r="A32" s="22" t="s">
        <v>18</v>
      </c>
      <c r="B32" s="29">
        <v>13164</v>
      </c>
      <c r="C32" s="29">
        <v>38225</v>
      </c>
      <c r="D32" s="29"/>
      <c r="E32" s="35"/>
      <c r="F32" s="24">
        <f>SUM(B32:E32)</f>
        <v>51389</v>
      </c>
      <c r="G32" s="29">
        <v>13123</v>
      </c>
      <c r="H32" s="29">
        <v>38225</v>
      </c>
      <c r="I32" s="29"/>
      <c r="J32" s="34"/>
      <c r="K32" s="24">
        <f>SUM(G32:J32)</f>
        <v>51348</v>
      </c>
      <c r="L32" s="25">
        <f t="shared" si="15"/>
        <v>41</v>
      </c>
      <c r="M32" s="25">
        <f t="shared" si="15"/>
        <v>0</v>
      </c>
      <c r="N32" s="25"/>
      <c r="O32" s="25">
        <f>+E32-J32</f>
        <v>0</v>
      </c>
      <c r="P32" s="26">
        <f>SUM(L32:O32)</f>
        <v>41</v>
      </c>
      <c r="Q32" s="18"/>
    </row>
    <row r="33" spans="1:17" ht="12.75" customHeight="1">
      <c r="A33" s="22" t="s">
        <v>19</v>
      </c>
      <c r="B33" s="27">
        <f t="shared" ref="B33:K33" si="16">+B34+B35</f>
        <v>0</v>
      </c>
      <c r="C33" s="27">
        <f t="shared" si="16"/>
        <v>9190</v>
      </c>
      <c r="D33" s="27">
        <f t="shared" si="16"/>
        <v>0</v>
      </c>
      <c r="E33" s="27">
        <f t="shared" si="16"/>
        <v>361</v>
      </c>
      <c r="F33" s="27">
        <f t="shared" si="16"/>
        <v>9551</v>
      </c>
      <c r="G33" s="27">
        <f t="shared" si="16"/>
        <v>0</v>
      </c>
      <c r="H33" s="27">
        <f t="shared" si="16"/>
        <v>9190</v>
      </c>
      <c r="I33" s="27">
        <f t="shared" si="16"/>
        <v>0</v>
      </c>
      <c r="J33" s="27">
        <f t="shared" si="16"/>
        <v>361</v>
      </c>
      <c r="K33" s="27">
        <f t="shared" si="16"/>
        <v>9551</v>
      </c>
      <c r="L33" s="27">
        <f>+L34+L35</f>
        <v>0</v>
      </c>
      <c r="M33" s="27">
        <f>+M34+M35</f>
        <v>0</v>
      </c>
      <c r="N33" s="27"/>
      <c r="O33" s="27">
        <f>+O34+O35</f>
        <v>0</v>
      </c>
      <c r="P33" s="28">
        <f>+P34+P35</f>
        <v>0</v>
      </c>
      <c r="Q33" s="18"/>
    </row>
    <row r="34" spans="1:17" ht="12.75" customHeight="1">
      <c r="A34" s="23" t="s">
        <v>20</v>
      </c>
      <c r="B34" s="29"/>
      <c r="C34" s="29">
        <v>9190</v>
      </c>
      <c r="D34" s="29"/>
      <c r="E34" s="30">
        <v>361</v>
      </c>
      <c r="F34" s="24">
        <f>SUM(B34:E34)</f>
        <v>9551</v>
      </c>
      <c r="G34" s="29"/>
      <c r="H34" s="29">
        <v>9190</v>
      </c>
      <c r="I34" s="29"/>
      <c r="J34" s="29">
        <v>361</v>
      </c>
      <c r="K34" s="24">
        <f>SUM(G34:J34)</f>
        <v>9551</v>
      </c>
      <c r="L34" s="25">
        <f>+B34-G34</f>
        <v>0</v>
      </c>
      <c r="M34" s="25">
        <f>+C34-H34</f>
        <v>0</v>
      </c>
      <c r="N34" s="25"/>
      <c r="O34" s="25">
        <f>+E34-J34</f>
        <v>0</v>
      </c>
      <c r="P34" s="26">
        <f>SUM(L34:O34)</f>
        <v>0</v>
      </c>
      <c r="Q34" s="18"/>
    </row>
    <row r="35" spans="1:17" ht="12.75" customHeight="1">
      <c r="A35" s="23" t="s">
        <v>21</v>
      </c>
      <c r="B35" s="29"/>
      <c r="C35" s="29"/>
      <c r="D35" s="29"/>
      <c r="E35" s="30"/>
      <c r="F35" s="24">
        <f>SUM(B35:E35)</f>
        <v>0</v>
      </c>
      <c r="G35" s="29"/>
      <c r="H35" s="29"/>
      <c r="I35" s="29"/>
      <c r="J35" s="29"/>
      <c r="K35" s="24">
        <f>SUM(G35:J35)</f>
        <v>0</v>
      </c>
      <c r="L35" s="25">
        <f>+B35-G35</f>
        <v>0</v>
      </c>
      <c r="M35" s="25">
        <f>+C35-H35</f>
        <v>0</v>
      </c>
      <c r="N35" s="25"/>
      <c r="O35" s="25">
        <f>+E35-J35</f>
        <v>0</v>
      </c>
      <c r="P35" s="26">
        <f>SUM(L35:O35)</f>
        <v>0</v>
      </c>
      <c r="Q35" s="18"/>
    </row>
    <row r="36" spans="1:17" ht="12.75" customHeight="1">
      <c r="A36" s="33"/>
      <c r="B36" s="25"/>
      <c r="C36" s="25"/>
      <c r="D36" s="25"/>
      <c r="E36" s="43"/>
      <c r="F36" s="24"/>
      <c r="G36" s="47"/>
      <c r="H36" s="47"/>
      <c r="I36" s="47"/>
      <c r="J36" s="47"/>
      <c r="K36" s="32"/>
      <c r="L36" s="25"/>
      <c r="M36" s="25"/>
      <c r="N36" s="25"/>
      <c r="O36" s="25"/>
      <c r="P36" s="26"/>
      <c r="Q36" s="18"/>
    </row>
    <row r="37" spans="1:17" ht="12.75" customHeight="1">
      <c r="A37" s="215" t="s">
        <v>103</v>
      </c>
      <c r="B37" s="17">
        <f t="shared" ref="B37:K37" si="17">+B38+B42</f>
        <v>32837</v>
      </c>
      <c r="C37" s="17">
        <f t="shared" si="17"/>
        <v>31973</v>
      </c>
      <c r="D37" s="17">
        <f t="shared" si="17"/>
        <v>0</v>
      </c>
      <c r="E37" s="17">
        <f t="shared" si="17"/>
        <v>0</v>
      </c>
      <c r="F37" s="17">
        <f t="shared" si="17"/>
        <v>64810</v>
      </c>
      <c r="G37" s="17">
        <f t="shared" si="17"/>
        <v>28815</v>
      </c>
      <c r="H37" s="17">
        <f t="shared" si="17"/>
        <v>29898</v>
      </c>
      <c r="I37" s="17">
        <f t="shared" si="17"/>
        <v>0</v>
      </c>
      <c r="J37" s="17">
        <f t="shared" si="17"/>
        <v>0</v>
      </c>
      <c r="K37" s="17">
        <f t="shared" si="17"/>
        <v>58713</v>
      </c>
      <c r="L37" s="17">
        <f>+L38+L42</f>
        <v>4022</v>
      </c>
      <c r="M37" s="17">
        <f>+M38+M42</f>
        <v>2075</v>
      </c>
      <c r="N37" s="17"/>
      <c r="O37" s="17">
        <f>+O38+O42</f>
        <v>0</v>
      </c>
      <c r="P37" s="17">
        <f>+P38+P42</f>
        <v>6097</v>
      </c>
      <c r="Q37" s="18">
        <f>+K37/F37</f>
        <v>0.90592501157228822</v>
      </c>
    </row>
    <row r="38" spans="1:17" ht="12.75" customHeight="1">
      <c r="A38" s="41" t="s">
        <v>15</v>
      </c>
      <c r="B38" s="20">
        <f t="shared" ref="B38:K38" si="18">+B39+B40+B41</f>
        <v>32837</v>
      </c>
      <c r="C38" s="20">
        <f t="shared" si="18"/>
        <v>31719</v>
      </c>
      <c r="D38" s="20">
        <f t="shared" si="18"/>
        <v>0</v>
      </c>
      <c r="E38" s="20">
        <f t="shared" si="18"/>
        <v>0</v>
      </c>
      <c r="F38" s="20">
        <f t="shared" si="18"/>
        <v>64556</v>
      </c>
      <c r="G38" s="20">
        <f t="shared" si="18"/>
        <v>28815</v>
      </c>
      <c r="H38" s="20">
        <f t="shared" si="18"/>
        <v>29644</v>
      </c>
      <c r="I38" s="20">
        <f t="shared" si="18"/>
        <v>0</v>
      </c>
      <c r="J38" s="20">
        <f t="shared" si="18"/>
        <v>0</v>
      </c>
      <c r="K38" s="20">
        <f t="shared" si="18"/>
        <v>58459</v>
      </c>
      <c r="L38" s="20">
        <f>+L39+L40+L41</f>
        <v>4022</v>
      </c>
      <c r="M38" s="20">
        <f>+M39+M40+M41</f>
        <v>2075</v>
      </c>
      <c r="N38" s="20"/>
      <c r="O38" s="20">
        <f>+O39+O40+O41</f>
        <v>0</v>
      </c>
      <c r="P38" s="21">
        <f>+P39+P40+P41</f>
        <v>6097</v>
      </c>
      <c r="Q38" s="18"/>
    </row>
    <row r="39" spans="1:17" ht="12.75" customHeight="1">
      <c r="A39" s="22" t="s">
        <v>16</v>
      </c>
      <c r="B39" s="29">
        <v>29885</v>
      </c>
      <c r="C39" s="29">
        <v>31719</v>
      </c>
      <c r="D39" s="29"/>
      <c r="E39" s="30"/>
      <c r="F39" s="24">
        <f>SUM(B39:E39)</f>
        <v>61604</v>
      </c>
      <c r="G39" s="29">
        <v>25942</v>
      </c>
      <c r="H39" s="29">
        <v>29644</v>
      </c>
      <c r="I39" s="29"/>
      <c r="J39" s="29"/>
      <c r="K39" s="24">
        <f>SUM(G39:J39)</f>
        <v>55586</v>
      </c>
      <c r="L39" s="25">
        <f t="shared" ref="L39:M41" si="19">+B39-G39</f>
        <v>3943</v>
      </c>
      <c r="M39" s="25">
        <f t="shared" si="19"/>
        <v>2075</v>
      </c>
      <c r="N39" s="25"/>
      <c r="O39" s="25">
        <f>+E39-J39</f>
        <v>0</v>
      </c>
      <c r="P39" s="26">
        <f>SUM(L39:O39)</f>
        <v>6018</v>
      </c>
      <c r="Q39" s="18"/>
    </row>
    <row r="40" spans="1:17" ht="12.75" customHeight="1">
      <c r="A40" s="22" t="s">
        <v>17</v>
      </c>
      <c r="B40" s="29">
        <v>740</v>
      </c>
      <c r="C40" s="34"/>
      <c r="D40" s="34"/>
      <c r="E40" s="30"/>
      <c r="F40" s="24">
        <f>SUM(B40:E40)</f>
        <v>740</v>
      </c>
      <c r="G40" s="29">
        <v>731</v>
      </c>
      <c r="H40" s="34"/>
      <c r="I40" s="34"/>
      <c r="J40" s="34"/>
      <c r="K40" s="24">
        <f>SUM(G40:J40)</f>
        <v>731</v>
      </c>
      <c r="L40" s="25">
        <f t="shared" si="19"/>
        <v>9</v>
      </c>
      <c r="M40" s="25">
        <f t="shared" si="19"/>
        <v>0</v>
      </c>
      <c r="N40" s="25"/>
      <c r="O40" s="25">
        <f>+E40-J40</f>
        <v>0</v>
      </c>
      <c r="P40" s="26">
        <f>SUM(L40:O40)</f>
        <v>9</v>
      </c>
      <c r="Q40" s="18"/>
    </row>
    <row r="41" spans="1:17" ht="12.75" customHeight="1">
      <c r="A41" s="22" t="s">
        <v>18</v>
      </c>
      <c r="B41" s="29">
        <v>2212</v>
      </c>
      <c r="C41" s="34"/>
      <c r="D41" s="34"/>
      <c r="E41" s="35"/>
      <c r="F41" s="24">
        <f>SUM(B41:E41)</f>
        <v>2212</v>
      </c>
      <c r="G41" s="29">
        <v>2142</v>
      </c>
      <c r="H41" s="34"/>
      <c r="I41" s="34"/>
      <c r="J41" s="34"/>
      <c r="K41" s="24">
        <f>SUM(G41:J41)</f>
        <v>2142</v>
      </c>
      <c r="L41" s="25">
        <f t="shared" si="19"/>
        <v>70</v>
      </c>
      <c r="M41" s="25">
        <f t="shared" si="19"/>
        <v>0</v>
      </c>
      <c r="N41" s="25"/>
      <c r="O41" s="25">
        <f>+E41-J41</f>
        <v>0</v>
      </c>
      <c r="P41" s="26">
        <f>SUM(L41:O41)</f>
        <v>70</v>
      </c>
      <c r="Q41" s="18"/>
    </row>
    <row r="42" spans="1:17" ht="12.75" customHeight="1">
      <c r="A42" s="22" t="s">
        <v>19</v>
      </c>
      <c r="B42" s="27">
        <f t="shared" ref="B42:K42" si="20">+B43+B44</f>
        <v>0</v>
      </c>
      <c r="C42" s="27">
        <f t="shared" si="20"/>
        <v>254</v>
      </c>
      <c r="D42" s="27">
        <f t="shared" si="20"/>
        <v>0</v>
      </c>
      <c r="E42" s="27">
        <f t="shared" si="20"/>
        <v>0</v>
      </c>
      <c r="F42" s="27">
        <f t="shared" si="20"/>
        <v>254</v>
      </c>
      <c r="G42" s="27">
        <f t="shared" si="20"/>
        <v>0</v>
      </c>
      <c r="H42" s="27">
        <f t="shared" si="20"/>
        <v>254</v>
      </c>
      <c r="I42" s="27">
        <f t="shared" si="20"/>
        <v>0</v>
      </c>
      <c r="J42" s="27">
        <f t="shared" si="20"/>
        <v>0</v>
      </c>
      <c r="K42" s="27">
        <f t="shared" si="20"/>
        <v>254</v>
      </c>
      <c r="L42" s="27">
        <f>+L43+L44</f>
        <v>0</v>
      </c>
      <c r="M42" s="27">
        <f>+M43+M44</f>
        <v>0</v>
      </c>
      <c r="N42" s="27"/>
      <c r="O42" s="27">
        <f>+O43+O44</f>
        <v>0</v>
      </c>
      <c r="P42" s="28">
        <f>+P43+P44</f>
        <v>0</v>
      </c>
      <c r="Q42" s="18"/>
    </row>
    <row r="43" spans="1:17" ht="12.75" customHeight="1">
      <c r="A43" s="23" t="s">
        <v>20</v>
      </c>
      <c r="B43" s="29"/>
      <c r="C43" s="29">
        <v>254</v>
      </c>
      <c r="D43" s="29"/>
      <c r="E43" s="30"/>
      <c r="F43" s="24">
        <f>SUM(B43:E43)</f>
        <v>254</v>
      </c>
      <c r="G43" s="29"/>
      <c r="H43" s="29">
        <v>254</v>
      </c>
      <c r="I43" s="29"/>
      <c r="J43" s="29"/>
      <c r="K43" s="24">
        <f>SUM(G43:J43)</f>
        <v>254</v>
      </c>
      <c r="L43" s="25">
        <f>+B43-G43</f>
        <v>0</v>
      </c>
      <c r="M43" s="25">
        <f>+C43-H43</f>
        <v>0</v>
      </c>
      <c r="N43" s="25"/>
      <c r="O43" s="25">
        <f>+E43-J43</f>
        <v>0</v>
      </c>
      <c r="P43" s="26">
        <f>SUM(L43:O43)</f>
        <v>0</v>
      </c>
      <c r="Q43" s="18"/>
    </row>
    <row r="44" spans="1:17" ht="12.75" customHeight="1">
      <c r="A44" s="23" t="s">
        <v>21</v>
      </c>
      <c r="B44" s="29"/>
      <c r="C44" s="29"/>
      <c r="D44" s="29"/>
      <c r="E44" s="30"/>
      <c r="F44" s="24">
        <f>SUM(B44:E44)</f>
        <v>0</v>
      </c>
      <c r="G44" s="29"/>
      <c r="H44" s="29"/>
      <c r="I44" s="29"/>
      <c r="J44" s="29"/>
      <c r="K44" s="24">
        <f>SUM(G44:J44)</f>
        <v>0</v>
      </c>
      <c r="L44" s="25">
        <f>+B44-G44</f>
        <v>0</v>
      </c>
      <c r="M44" s="25">
        <f>+C44-H44</f>
        <v>0</v>
      </c>
      <c r="N44" s="25"/>
      <c r="O44" s="25">
        <f>+E44-J44</f>
        <v>0</v>
      </c>
      <c r="P44" s="26">
        <f>SUM(L44:O44)</f>
        <v>0</v>
      </c>
      <c r="Q44" s="18"/>
    </row>
    <row r="45" spans="1:17" ht="12.75" customHeight="1">
      <c r="A45" s="33"/>
      <c r="B45" s="25"/>
      <c r="C45" s="25"/>
      <c r="D45" s="25"/>
      <c r="E45" s="43"/>
      <c r="F45" s="24"/>
      <c r="G45" s="47"/>
      <c r="H45" s="47"/>
      <c r="I45" s="47"/>
      <c r="J45" s="47"/>
      <c r="K45" s="32"/>
      <c r="L45" s="25"/>
      <c r="M45" s="25"/>
      <c r="N45" s="25"/>
      <c r="O45" s="25"/>
      <c r="P45" s="26"/>
      <c r="Q45" s="18"/>
    </row>
    <row r="46" spans="1:17" ht="12.75" customHeight="1">
      <c r="A46" s="33" t="s">
        <v>104</v>
      </c>
      <c r="B46" s="17">
        <f t="shared" ref="B46:K46" si="21">+B47+B51</f>
        <v>129690</v>
      </c>
      <c r="C46" s="17">
        <f t="shared" si="21"/>
        <v>1008398</v>
      </c>
      <c r="D46" s="17">
        <f t="shared" si="21"/>
        <v>0</v>
      </c>
      <c r="E46" s="17">
        <f t="shared" si="21"/>
        <v>0</v>
      </c>
      <c r="F46" s="17">
        <f t="shared" si="21"/>
        <v>1138088</v>
      </c>
      <c r="G46" s="17">
        <f t="shared" si="21"/>
        <v>129690</v>
      </c>
      <c r="H46" s="17">
        <f t="shared" si="21"/>
        <v>468737</v>
      </c>
      <c r="I46" s="17">
        <f t="shared" si="21"/>
        <v>0</v>
      </c>
      <c r="J46" s="17">
        <f t="shared" si="21"/>
        <v>0</v>
      </c>
      <c r="K46" s="17">
        <f t="shared" si="21"/>
        <v>598427</v>
      </c>
      <c r="L46" s="17">
        <f>+L47+L51</f>
        <v>0</v>
      </c>
      <c r="M46" s="17">
        <f>+M47+M51</f>
        <v>539661</v>
      </c>
      <c r="N46" s="17"/>
      <c r="O46" s="17">
        <f>+O47+O51</f>
        <v>0</v>
      </c>
      <c r="P46" s="17">
        <f>+P47+P51</f>
        <v>539661</v>
      </c>
      <c r="Q46" s="18">
        <f>+K46/F46</f>
        <v>0.52581786294205723</v>
      </c>
    </row>
    <row r="47" spans="1:17" ht="12.75" customHeight="1">
      <c r="A47" s="41" t="s">
        <v>15</v>
      </c>
      <c r="B47" s="20">
        <f t="shared" ref="B47:K47" si="22">+B48+B49+B50</f>
        <v>129690</v>
      </c>
      <c r="C47" s="20">
        <f t="shared" si="22"/>
        <v>597831</v>
      </c>
      <c r="D47" s="20">
        <f t="shared" si="22"/>
        <v>0</v>
      </c>
      <c r="E47" s="20">
        <f t="shared" si="22"/>
        <v>0</v>
      </c>
      <c r="F47" s="20">
        <f t="shared" si="22"/>
        <v>727521</v>
      </c>
      <c r="G47" s="20">
        <f t="shared" si="22"/>
        <v>129690</v>
      </c>
      <c r="H47" s="20">
        <f t="shared" si="22"/>
        <v>86293</v>
      </c>
      <c r="I47" s="20">
        <f t="shared" si="22"/>
        <v>0</v>
      </c>
      <c r="J47" s="20">
        <f t="shared" si="22"/>
        <v>0</v>
      </c>
      <c r="K47" s="20">
        <f t="shared" si="22"/>
        <v>215983</v>
      </c>
      <c r="L47" s="20">
        <f>+L48+L49+L50</f>
        <v>0</v>
      </c>
      <c r="M47" s="20">
        <f>+M48+M49+M50</f>
        <v>511538</v>
      </c>
      <c r="N47" s="20"/>
      <c r="O47" s="20">
        <f>+O48+O49+O50</f>
        <v>0</v>
      </c>
      <c r="P47" s="21">
        <f>+P48+P49+P50</f>
        <v>511538</v>
      </c>
      <c r="Q47" s="18"/>
    </row>
    <row r="48" spans="1:17" ht="12.75" customHeight="1">
      <c r="A48" s="22" t="s">
        <v>16</v>
      </c>
      <c r="B48" s="29">
        <v>81443</v>
      </c>
      <c r="C48" s="29">
        <v>589160</v>
      </c>
      <c r="D48" s="29"/>
      <c r="E48" s="30"/>
      <c r="F48" s="24">
        <f>SUM(B48:E48)</f>
        <v>670603</v>
      </c>
      <c r="G48" s="29">
        <v>81443</v>
      </c>
      <c r="H48" s="29">
        <f>44939+13520+22221</f>
        <v>80680</v>
      </c>
      <c r="I48" s="29"/>
      <c r="J48" s="29"/>
      <c r="K48" s="24">
        <f>SUM(G48:J48)</f>
        <v>162123</v>
      </c>
      <c r="L48" s="25">
        <f t="shared" ref="L48:M50" si="23">+B48-G48</f>
        <v>0</v>
      </c>
      <c r="M48" s="25">
        <f t="shared" si="23"/>
        <v>508480</v>
      </c>
      <c r="N48" s="25"/>
      <c r="O48" s="25">
        <f>+E48-J48</f>
        <v>0</v>
      </c>
      <c r="P48" s="26">
        <f>SUM(L48:O48)</f>
        <v>508480</v>
      </c>
      <c r="Q48" s="18"/>
    </row>
    <row r="49" spans="1:17" ht="12.75" customHeight="1">
      <c r="A49" s="22" t="s">
        <v>17</v>
      </c>
      <c r="B49" s="29">
        <v>39563</v>
      </c>
      <c r="C49" s="29">
        <v>8671</v>
      </c>
      <c r="D49" s="29"/>
      <c r="E49" s="30"/>
      <c r="F49" s="24">
        <f>SUM(B49:E49)</f>
        <v>48234</v>
      </c>
      <c r="G49" s="29">
        <f>13087+26329+147</f>
        <v>39563</v>
      </c>
      <c r="H49" s="29">
        <f>5502+111</f>
        <v>5613</v>
      </c>
      <c r="I49" s="29"/>
      <c r="J49" s="34"/>
      <c r="K49" s="24">
        <f>SUM(G49:J49)</f>
        <v>45176</v>
      </c>
      <c r="L49" s="25">
        <f t="shared" si="23"/>
        <v>0</v>
      </c>
      <c r="M49" s="25">
        <f t="shared" si="23"/>
        <v>3058</v>
      </c>
      <c r="N49" s="25"/>
      <c r="O49" s="25">
        <f>+E49-J49</f>
        <v>0</v>
      </c>
      <c r="P49" s="26">
        <f>SUM(L49:O49)</f>
        <v>3058</v>
      </c>
      <c r="Q49" s="18"/>
    </row>
    <row r="50" spans="1:17" ht="12.75" customHeight="1">
      <c r="A50" s="22" t="s">
        <v>18</v>
      </c>
      <c r="B50" s="29">
        <v>8684</v>
      </c>
      <c r="C50" s="34"/>
      <c r="D50" s="34"/>
      <c r="E50" s="35"/>
      <c r="F50" s="24">
        <f>SUM(B50:E50)</f>
        <v>8684</v>
      </c>
      <c r="G50" s="29">
        <f>8942-147-111</f>
        <v>8684</v>
      </c>
      <c r="H50" s="34"/>
      <c r="I50" s="34"/>
      <c r="J50" s="34"/>
      <c r="K50" s="24">
        <f>SUM(G50:J50)</f>
        <v>8684</v>
      </c>
      <c r="L50" s="25">
        <f t="shared" si="23"/>
        <v>0</v>
      </c>
      <c r="M50" s="25">
        <f t="shared" si="23"/>
        <v>0</v>
      </c>
      <c r="N50" s="25"/>
      <c r="O50" s="25">
        <f>+E50-J50</f>
        <v>0</v>
      </c>
      <c r="P50" s="26">
        <f>SUM(L50:O50)</f>
        <v>0</v>
      </c>
      <c r="Q50" s="18"/>
    </row>
    <row r="51" spans="1:17" ht="12.75" customHeight="1">
      <c r="A51" s="22" t="s">
        <v>19</v>
      </c>
      <c r="B51" s="27">
        <f t="shared" ref="B51:K51" si="24">+B52+B53</f>
        <v>0</v>
      </c>
      <c r="C51" s="27">
        <f t="shared" si="24"/>
        <v>410567</v>
      </c>
      <c r="D51" s="27">
        <f t="shared" si="24"/>
        <v>0</v>
      </c>
      <c r="E51" s="27">
        <f t="shared" si="24"/>
        <v>0</v>
      </c>
      <c r="F51" s="27">
        <f t="shared" si="24"/>
        <v>410567</v>
      </c>
      <c r="G51" s="27">
        <f t="shared" si="24"/>
        <v>0</v>
      </c>
      <c r="H51" s="27">
        <f t="shared" si="24"/>
        <v>382444</v>
      </c>
      <c r="I51" s="27">
        <f t="shared" si="24"/>
        <v>0</v>
      </c>
      <c r="J51" s="27">
        <f t="shared" si="24"/>
        <v>0</v>
      </c>
      <c r="K51" s="27">
        <f t="shared" si="24"/>
        <v>382444</v>
      </c>
      <c r="L51" s="27">
        <f>+L52+L53</f>
        <v>0</v>
      </c>
      <c r="M51" s="27">
        <f>+M52+M53</f>
        <v>28123</v>
      </c>
      <c r="N51" s="27"/>
      <c r="O51" s="27">
        <f>+O52+O53</f>
        <v>0</v>
      </c>
      <c r="P51" s="28">
        <f>+P52+P53</f>
        <v>28123</v>
      </c>
      <c r="Q51" s="18"/>
    </row>
    <row r="52" spans="1:17" ht="12.75" customHeight="1">
      <c r="A52" s="23" t="s">
        <v>20</v>
      </c>
      <c r="B52" s="29"/>
      <c r="C52" s="29">
        <v>326152</v>
      </c>
      <c r="D52" s="29"/>
      <c r="E52" s="30"/>
      <c r="F52" s="24">
        <f>SUM(B52:E52)</f>
        <v>326152</v>
      </c>
      <c r="G52" s="29"/>
      <c r="H52" s="29">
        <v>316307</v>
      </c>
      <c r="I52" s="29"/>
      <c r="J52" s="29"/>
      <c r="K52" s="24">
        <f>SUM(G52:J52)</f>
        <v>316307</v>
      </c>
      <c r="L52" s="25">
        <f>+B52-G52</f>
        <v>0</v>
      </c>
      <c r="M52" s="25">
        <f>+C52-H52</f>
        <v>9845</v>
      </c>
      <c r="N52" s="25"/>
      <c r="O52" s="25">
        <f>+E52-J52</f>
        <v>0</v>
      </c>
      <c r="P52" s="26">
        <f>SUM(L52:O52)</f>
        <v>9845</v>
      </c>
      <c r="Q52" s="18"/>
    </row>
    <row r="53" spans="1:17" ht="12.75" customHeight="1">
      <c r="A53" s="23" t="s">
        <v>21</v>
      </c>
      <c r="B53" s="29"/>
      <c r="C53" s="29">
        <v>84415</v>
      </c>
      <c r="D53" s="29"/>
      <c r="E53" s="30"/>
      <c r="F53" s="24">
        <f>SUM(B53:E53)</f>
        <v>84415</v>
      </c>
      <c r="G53" s="29"/>
      <c r="H53" s="29">
        <v>66137</v>
      </c>
      <c r="I53" s="29"/>
      <c r="J53" s="29"/>
      <c r="K53" s="24">
        <f>SUM(G53:J53)</f>
        <v>66137</v>
      </c>
      <c r="L53" s="25">
        <f>+B53-G53</f>
        <v>0</v>
      </c>
      <c r="M53" s="25">
        <f>+C53-H53</f>
        <v>18278</v>
      </c>
      <c r="N53" s="25"/>
      <c r="O53" s="25">
        <f>+E53-J53</f>
        <v>0</v>
      </c>
      <c r="P53" s="26">
        <f>SUM(L53:O53)</f>
        <v>18278</v>
      </c>
      <c r="Q53" s="18"/>
    </row>
    <row r="54" spans="1:17" ht="12.75" customHeight="1">
      <c r="A54" s="217"/>
      <c r="B54" s="44"/>
      <c r="C54" s="44"/>
      <c r="D54" s="44"/>
      <c r="E54" s="45"/>
      <c r="F54" s="77"/>
      <c r="G54" s="84"/>
      <c r="H54" s="84"/>
      <c r="I54" s="84"/>
      <c r="J54" s="84"/>
      <c r="K54" s="82"/>
      <c r="L54" s="44"/>
      <c r="M54" s="44"/>
      <c r="N54" s="44"/>
      <c r="O54" s="44"/>
      <c r="P54" s="75"/>
      <c r="Q54" s="76"/>
    </row>
    <row r="55" spans="1:17" ht="12.75" customHeight="1">
      <c r="A55" s="215" t="s">
        <v>105</v>
      </c>
      <c r="B55" s="17">
        <f t="shared" ref="B55:K55" si="25">+B56+B60</f>
        <v>10745494</v>
      </c>
      <c r="C55" s="17">
        <f t="shared" si="25"/>
        <v>279526</v>
      </c>
      <c r="D55" s="17">
        <f t="shared" si="25"/>
        <v>0</v>
      </c>
      <c r="E55" s="17">
        <f t="shared" si="25"/>
        <v>23000</v>
      </c>
      <c r="F55" s="17">
        <f t="shared" si="25"/>
        <v>11048020</v>
      </c>
      <c r="G55" s="17">
        <f t="shared" si="25"/>
        <v>10745487</v>
      </c>
      <c r="H55" s="17">
        <f t="shared" si="25"/>
        <v>270725</v>
      </c>
      <c r="I55" s="17">
        <f t="shared" si="25"/>
        <v>0</v>
      </c>
      <c r="J55" s="17">
        <f t="shared" si="25"/>
        <v>10579</v>
      </c>
      <c r="K55" s="17">
        <f t="shared" si="25"/>
        <v>11026791</v>
      </c>
      <c r="L55" s="17">
        <f>+L56+L60</f>
        <v>7</v>
      </c>
      <c r="M55" s="17">
        <f>+M56+M60</f>
        <v>8801</v>
      </c>
      <c r="N55" s="17"/>
      <c r="O55" s="17">
        <f>+O56+O60</f>
        <v>12421</v>
      </c>
      <c r="P55" s="17">
        <f>+P56+P60</f>
        <v>21229</v>
      </c>
      <c r="Q55" s="18">
        <f>+K55/F55</f>
        <v>0.99807847922071102</v>
      </c>
    </row>
    <row r="56" spans="1:17" ht="12.75" customHeight="1">
      <c r="A56" s="41" t="s">
        <v>15</v>
      </c>
      <c r="B56" s="20">
        <f t="shared" ref="B56:K56" si="26">+B57+B58+B59</f>
        <v>10745494</v>
      </c>
      <c r="C56" s="20">
        <f t="shared" si="26"/>
        <v>279520</v>
      </c>
      <c r="D56" s="20">
        <f t="shared" si="26"/>
        <v>0</v>
      </c>
      <c r="E56" s="20">
        <f t="shared" si="26"/>
        <v>23000</v>
      </c>
      <c r="F56" s="20">
        <f t="shared" si="26"/>
        <v>11048014</v>
      </c>
      <c r="G56" s="20">
        <f t="shared" si="26"/>
        <v>10745487</v>
      </c>
      <c r="H56" s="20">
        <f t="shared" si="26"/>
        <v>270725</v>
      </c>
      <c r="I56" s="20">
        <f t="shared" si="26"/>
        <v>0</v>
      </c>
      <c r="J56" s="20">
        <f t="shared" si="26"/>
        <v>10579</v>
      </c>
      <c r="K56" s="20">
        <f t="shared" si="26"/>
        <v>11026791</v>
      </c>
      <c r="L56" s="20">
        <f>+L57+L58+L59</f>
        <v>7</v>
      </c>
      <c r="M56" s="20">
        <f>+M57+M58+M59</f>
        <v>8795</v>
      </c>
      <c r="N56" s="20"/>
      <c r="O56" s="20">
        <f>+O57+O58+O59</f>
        <v>12421</v>
      </c>
      <c r="P56" s="21">
        <f>+P57+P58+P59</f>
        <v>21223</v>
      </c>
      <c r="Q56" s="18"/>
    </row>
    <row r="57" spans="1:17" ht="12.75" customHeight="1">
      <c r="A57" s="22" t="s">
        <v>16</v>
      </c>
      <c r="B57" s="29">
        <v>107713</v>
      </c>
      <c r="C57" s="29">
        <v>264270</v>
      </c>
      <c r="D57" s="29"/>
      <c r="E57" s="30">
        <v>23000</v>
      </c>
      <c r="F57" s="24">
        <f>SUM(B57:E57)</f>
        <v>394983</v>
      </c>
      <c r="G57" s="29">
        <f>109261-1548</f>
        <v>107713</v>
      </c>
      <c r="H57" s="29">
        <v>257967</v>
      </c>
      <c r="I57" s="29"/>
      <c r="J57" s="29">
        <v>10579</v>
      </c>
      <c r="K57" s="24">
        <f>SUM(G57:J57)</f>
        <v>376259</v>
      </c>
      <c r="L57" s="25">
        <f t="shared" ref="L57:M59" si="27">+B57-G57</f>
        <v>0</v>
      </c>
      <c r="M57" s="25">
        <f t="shared" si="27"/>
        <v>6303</v>
      </c>
      <c r="N57" s="25"/>
      <c r="O57" s="25">
        <f>+E57-J57</f>
        <v>12421</v>
      </c>
      <c r="P57" s="26">
        <f>SUM(L57:O57)</f>
        <v>18724</v>
      </c>
      <c r="Q57" s="18"/>
    </row>
    <row r="58" spans="1:17" ht="12.75" customHeight="1">
      <c r="A58" s="22" t="s">
        <v>17</v>
      </c>
      <c r="B58" s="29">
        <v>10628602</v>
      </c>
      <c r="C58" s="29">
        <v>15250</v>
      </c>
      <c r="D58" s="29"/>
      <c r="E58" s="30"/>
      <c r="F58" s="24">
        <f>SUM(B58:E58)</f>
        <v>10643852</v>
      </c>
      <c r="G58" s="29">
        <f>10627047+1548</f>
        <v>10628595</v>
      </c>
      <c r="H58" s="29">
        <v>12758</v>
      </c>
      <c r="I58" s="29"/>
      <c r="J58" s="34"/>
      <c r="K58" s="24">
        <f>SUM(G58:J58)</f>
        <v>10641353</v>
      </c>
      <c r="L58" s="25">
        <f t="shared" si="27"/>
        <v>7</v>
      </c>
      <c r="M58" s="25">
        <f t="shared" si="27"/>
        <v>2492</v>
      </c>
      <c r="N58" s="25"/>
      <c r="O58" s="25">
        <f>+E58-J58</f>
        <v>0</v>
      </c>
      <c r="P58" s="26">
        <f>SUM(L58:O58)</f>
        <v>2499</v>
      </c>
      <c r="Q58" s="18"/>
    </row>
    <row r="59" spans="1:17" ht="12.75" customHeight="1">
      <c r="A59" s="22" t="s">
        <v>18</v>
      </c>
      <c r="B59" s="29">
        <v>9179</v>
      </c>
      <c r="C59" s="34"/>
      <c r="D59" s="34"/>
      <c r="E59" s="35"/>
      <c r="F59" s="24">
        <f>SUM(B59:E59)</f>
        <v>9179</v>
      </c>
      <c r="G59" s="29">
        <v>9179</v>
      </c>
      <c r="H59" s="34"/>
      <c r="I59" s="34"/>
      <c r="J59" s="34"/>
      <c r="K59" s="24">
        <f>SUM(G59:J59)</f>
        <v>9179</v>
      </c>
      <c r="L59" s="25">
        <f t="shared" si="27"/>
        <v>0</v>
      </c>
      <c r="M59" s="25">
        <f t="shared" si="27"/>
        <v>0</v>
      </c>
      <c r="N59" s="25"/>
      <c r="O59" s="25">
        <f>+E59-J59</f>
        <v>0</v>
      </c>
      <c r="P59" s="26">
        <f>SUM(L59:O59)</f>
        <v>0</v>
      </c>
      <c r="Q59" s="18"/>
    </row>
    <row r="60" spans="1:17" ht="12.75" customHeight="1">
      <c r="A60" s="22" t="s">
        <v>19</v>
      </c>
      <c r="B60" s="27">
        <f t="shared" ref="B60:K60" si="28">+B61+B62</f>
        <v>0</v>
      </c>
      <c r="C60" s="27">
        <f t="shared" si="28"/>
        <v>6</v>
      </c>
      <c r="D60" s="27">
        <f t="shared" si="28"/>
        <v>0</v>
      </c>
      <c r="E60" s="27">
        <f t="shared" si="28"/>
        <v>0</v>
      </c>
      <c r="F60" s="27">
        <f t="shared" si="28"/>
        <v>6</v>
      </c>
      <c r="G60" s="27">
        <f t="shared" si="28"/>
        <v>0</v>
      </c>
      <c r="H60" s="27">
        <f t="shared" si="28"/>
        <v>0</v>
      </c>
      <c r="I60" s="27">
        <f t="shared" si="28"/>
        <v>0</v>
      </c>
      <c r="J60" s="27">
        <f t="shared" si="28"/>
        <v>0</v>
      </c>
      <c r="K60" s="27">
        <f t="shared" si="28"/>
        <v>0</v>
      </c>
      <c r="L60" s="27">
        <f>+L61+L62</f>
        <v>0</v>
      </c>
      <c r="M60" s="27">
        <f>+M61+M62</f>
        <v>6</v>
      </c>
      <c r="N60" s="27"/>
      <c r="O60" s="27">
        <f>+O61+O62</f>
        <v>0</v>
      </c>
      <c r="P60" s="28">
        <f>+P61+P62</f>
        <v>6</v>
      </c>
      <c r="Q60" s="18"/>
    </row>
    <row r="61" spans="1:17" ht="12.75" customHeight="1">
      <c r="A61" s="23" t="s">
        <v>20</v>
      </c>
      <c r="B61" s="29"/>
      <c r="C61" s="29">
        <v>6</v>
      </c>
      <c r="D61" s="29"/>
      <c r="E61" s="30"/>
      <c r="F61" s="24">
        <f>SUM(B61:E61)</f>
        <v>6</v>
      </c>
      <c r="G61" s="29"/>
      <c r="H61" s="29"/>
      <c r="I61" s="29"/>
      <c r="J61" s="29"/>
      <c r="K61" s="24">
        <f>SUM(G61:J61)</f>
        <v>0</v>
      </c>
      <c r="L61" s="25">
        <f>+B61-G61</f>
        <v>0</v>
      </c>
      <c r="M61" s="25">
        <f>+C61-H61</f>
        <v>6</v>
      </c>
      <c r="N61" s="25"/>
      <c r="O61" s="25">
        <f>+E61-J61</f>
        <v>0</v>
      </c>
      <c r="P61" s="26">
        <f>SUM(L61:O61)</f>
        <v>6</v>
      </c>
      <c r="Q61" s="18"/>
    </row>
    <row r="62" spans="1:17" ht="12.75" customHeight="1">
      <c r="A62" s="23" t="s">
        <v>21</v>
      </c>
      <c r="B62" s="29"/>
      <c r="C62" s="29"/>
      <c r="D62" s="29"/>
      <c r="E62" s="30"/>
      <c r="F62" s="24">
        <f>SUM(B62:E62)</f>
        <v>0</v>
      </c>
      <c r="G62" s="29"/>
      <c r="H62" s="29"/>
      <c r="I62" s="29"/>
      <c r="J62" s="29"/>
      <c r="K62" s="24">
        <f>SUM(G62:J62)</f>
        <v>0</v>
      </c>
      <c r="L62" s="25">
        <f>+B62-G62</f>
        <v>0</v>
      </c>
      <c r="M62" s="25">
        <f>+C62-H62</f>
        <v>0</v>
      </c>
      <c r="N62" s="25"/>
      <c r="O62" s="25">
        <f>+E62-J62</f>
        <v>0</v>
      </c>
      <c r="P62" s="26">
        <f>SUM(L62:O62)</f>
        <v>0</v>
      </c>
      <c r="Q62" s="18"/>
    </row>
    <row r="63" spans="1:17" ht="12.75" customHeight="1">
      <c r="A63" s="217"/>
      <c r="B63" s="25"/>
      <c r="C63" s="25"/>
      <c r="D63" s="25"/>
      <c r="E63" s="43"/>
      <c r="F63" s="24"/>
      <c r="G63" s="47"/>
      <c r="H63" s="47"/>
      <c r="I63" s="47"/>
      <c r="J63" s="47"/>
      <c r="K63" s="32"/>
      <c r="L63" s="44"/>
      <c r="M63" s="44"/>
      <c r="N63" s="44"/>
      <c r="O63" s="44"/>
      <c r="P63" s="75"/>
      <c r="Q63" s="76"/>
    </row>
    <row r="64" spans="1:17" ht="12.75" customHeight="1">
      <c r="A64" s="33" t="s">
        <v>106</v>
      </c>
      <c r="B64" s="17">
        <f t="shared" ref="B64:K64" si="29">+B65+B69</f>
        <v>592564</v>
      </c>
      <c r="C64" s="17">
        <f t="shared" si="29"/>
        <v>410224</v>
      </c>
      <c r="D64" s="17">
        <f t="shared" si="29"/>
        <v>0</v>
      </c>
      <c r="E64" s="17">
        <f t="shared" si="29"/>
        <v>83400</v>
      </c>
      <c r="F64" s="17">
        <f t="shared" si="29"/>
        <v>1086188</v>
      </c>
      <c r="G64" s="17">
        <f t="shared" si="29"/>
        <v>592564</v>
      </c>
      <c r="H64" s="17">
        <f t="shared" si="29"/>
        <v>409047</v>
      </c>
      <c r="I64" s="17">
        <f t="shared" si="29"/>
        <v>0</v>
      </c>
      <c r="J64" s="17">
        <f t="shared" si="29"/>
        <v>30995</v>
      </c>
      <c r="K64" s="17">
        <f t="shared" si="29"/>
        <v>1032606</v>
      </c>
      <c r="L64" s="17">
        <f>+L65+L69</f>
        <v>0</v>
      </c>
      <c r="M64" s="17">
        <f>+M65+M69</f>
        <v>1177</v>
      </c>
      <c r="N64" s="17"/>
      <c r="O64" s="17">
        <f>+O65+O69</f>
        <v>52405</v>
      </c>
      <c r="P64" s="17">
        <f>+P65+P69</f>
        <v>53582</v>
      </c>
      <c r="Q64" s="18">
        <f>+K64/F64</f>
        <v>0.9506696814916018</v>
      </c>
    </row>
    <row r="65" spans="1:17" ht="12.75" customHeight="1">
      <c r="A65" s="41" t="s">
        <v>15</v>
      </c>
      <c r="B65" s="20">
        <f t="shared" ref="B65:K65" si="30">+B66+B67+B68</f>
        <v>592564</v>
      </c>
      <c r="C65" s="20">
        <f t="shared" si="30"/>
        <v>410220</v>
      </c>
      <c r="D65" s="20">
        <f t="shared" si="30"/>
        <v>0</v>
      </c>
      <c r="E65" s="20">
        <f t="shared" si="30"/>
        <v>83400</v>
      </c>
      <c r="F65" s="20">
        <f t="shared" si="30"/>
        <v>1086184</v>
      </c>
      <c r="G65" s="20">
        <f t="shared" si="30"/>
        <v>592564</v>
      </c>
      <c r="H65" s="20">
        <f t="shared" si="30"/>
        <v>409047</v>
      </c>
      <c r="I65" s="20">
        <f t="shared" si="30"/>
        <v>0</v>
      </c>
      <c r="J65" s="20">
        <f t="shared" si="30"/>
        <v>30995</v>
      </c>
      <c r="K65" s="20">
        <f t="shared" si="30"/>
        <v>1032606</v>
      </c>
      <c r="L65" s="20">
        <f>+L66+L67+L68</f>
        <v>0</v>
      </c>
      <c r="M65" s="20">
        <f>+M66+M67+M68</f>
        <v>1173</v>
      </c>
      <c r="N65" s="20"/>
      <c r="O65" s="20">
        <f>+O66+O67+O68</f>
        <v>52405</v>
      </c>
      <c r="P65" s="21">
        <f>+P66+P67+P68</f>
        <v>53578</v>
      </c>
      <c r="Q65" s="18"/>
    </row>
    <row r="66" spans="1:17" ht="12.75" customHeight="1">
      <c r="A66" s="22" t="s">
        <v>16</v>
      </c>
      <c r="B66" s="29">
        <v>485475</v>
      </c>
      <c r="C66" s="29">
        <v>410220</v>
      </c>
      <c r="D66" s="29"/>
      <c r="E66" s="30">
        <v>83400</v>
      </c>
      <c r="F66" s="24">
        <f>SUM(B66:E66)</f>
        <v>979095</v>
      </c>
      <c r="G66" s="29">
        <v>485475</v>
      </c>
      <c r="H66" s="29">
        <v>409047</v>
      </c>
      <c r="I66" s="29"/>
      <c r="J66" s="29">
        <v>30995</v>
      </c>
      <c r="K66" s="24">
        <f>SUM(G66:J66)</f>
        <v>925517</v>
      </c>
      <c r="L66" s="25">
        <f t="shared" ref="L66:M68" si="31">+B66-G66</f>
        <v>0</v>
      </c>
      <c r="M66" s="25">
        <f t="shared" si="31"/>
        <v>1173</v>
      </c>
      <c r="N66" s="25"/>
      <c r="O66" s="25">
        <f>+E66-J66</f>
        <v>52405</v>
      </c>
      <c r="P66" s="26">
        <f>SUM(L66:O66)</f>
        <v>53578</v>
      </c>
      <c r="Q66" s="18"/>
    </row>
    <row r="67" spans="1:17" ht="12.75" customHeight="1">
      <c r="A67" s="22" t="s">
        <v>17</v>
      </c>
      <c r="B67" s="29">
        <v>74615</v>
      </c>
      <c r="C67" s="34"/>
      <c r="D67" s="34"/>
      <c r="E67" s="30"/>
      <c r="F67" s="24">
        <f>SUM(B67:E67)</f>
        <v>74615</v>
      </c>
      <c r="G67" s="29">
        <f>74321+294</f>
        <v>74615</v>
      </c>
      <c r="H67" s="29"/>
      <c r="I67" s="29"/>
      <c r="J67" s="34"/>
      <c r="K67" s="24">
        <f>SUM(G67:J67)</f>
        <v>74615</v>
      </c>
      <c r="L67" s="25">
        <f t="shared" si="31"/>
        <v>0</v>
      </c>
      <c r="M67" s="25">
        <f t="shared" si="31"/>
        <v>0</v>
      </c>
      <c r="N67" s="25"/>
      <c r="O67" s="25">
        <f>+E67-J67</f>
        <v>0</v>
      </c>
      <c r="P67" s="26">
        <f>SUM(L67:O67)</f>
        <v>0</v>
      </c>
      <c r="Q67" s="18"/>
    </row>
    <row r="68" spans="1:17" ht="12.75" customHeight="1">
      <c r="A68" s="22" t="s">
        <v>18</v>
      </c>
      <c r="B68" s="29">
        <v>32474</v>
      </c>
      <c r="C68" s="34"/>
      <c r="D68" s="34"/>
      <c r="E68" s="35"/>
      <c r="F68" s="24">
        <f>SUM(B68:E68)</f>
        <v>32474</v>
      </c>
      <c r="G68" s="29">
        <f>32768-294</f>
        <v>32474</v>
      </c>
      <c r="H68" s="29"/>
      <c r="I68" s="29"/>
      <c r="J68" s="34"/>
      <c r="K68" s="24">
        <f>SUM(G68:J68)</f>
        <v>32474</v>
      </c>
      <c r="L68" s="25">
        <f t="shared" si="31"/>
        <v>0</v>
      </c>
      <c r="M68" s="25">
        <f t="shared" si="31"/>
        <v>0</v>
      </c>
      <c r="N68" s="25"/>
      <c r="O68" s="25">
        <f>+E68-J68</f>
        <v>0</v>
      </c>
      <c r="P68" s="26">
        <f>SUM(L68:O68)</f>
        <v>0</v>
      </c>
      <c r="Q68" s="18"/>
    </row>
    <row r="69" spans="1:17" ht="12.75" customHeight="1">
      <c r="A69" s="22" t="s">
        <v>19</v>
      </c>
      <c r="B69" s="27">
        <f t="shared" ref="B69:K69" si="32">+B70+B71</f>
        <v>0</v>
      </c>
      <c r="C69" s="27">
        <f t="shared" si="32"/>
        <v>4</v>
      </c>
      <c r="D69" s="27">
        <f t="shared" si="32"/>
        <v>0</v>
      </c>
      <c r="E69" s="27">
        <f t="shared" si="32"/>
        <v>0</v>
      </c>
      <c r="F69" s="27">
        <f t="shared" si="32"/>
        <v>4</v>
      </c>
      <c r="G69" s="27">
        <f t="shared" si="32"/>
        <v>0</v>
      </c>
      <c r="H69" s="27">
        <f t="shared" si="32"/>
        <v>0</v>
      </c>
      <c r="I69" s="27">
        <f t="shared" si="32"/>
        <v>0</v>
      </c>
      <c r="J69" s="27">
        <f t="shared" si="32"/>
        <v>0</v>
      </c>
      <c r="K69" s="27">
        <f t="shared" si="32"/>
        <v>0</v>
      </c>
      <c r="L69" s="27">
        <f>+L70+L71</f>
        <v>0</v>
      </c>
      <c r="M69" s="27">
        <f>+M70+M71</f>
        <v>4</v>
      </c>
      <c r="N69" s="27"/>
      <c r="O69" s="27">
        <f>+O70+O71</f>
        <v>0</v>
      </c>
      <c r="P69" s="28">
        <f>+P70+P71</f>
        <v>4</v>
      </c>
      <c r="Q69" s="18"/>
    </row>
    <row r="70" spans="1:17" ht="12.75" customHeight="1">
      <c r="A70" s="23" t="s">
        <v>20</v>
      </c>
      <c r="B70" s="29"/>
      <c r="C70" s="29">
        <v>4</v>
      </c>
      <c r="D70" s="29"/>
      <c r="E70" s="30"/>
      <c r="F70" s="24">
        <f>SUM(B70:E70)</f>
        <v>4</v>
      </c>
      <c r="G70" s="29"/>
      <c r="H70" s="29"/>
      <c r="I70" s="29"/>
      <c r="J70" s="29"/>
      <c r="K70" s="24">
        <f>SUM(G70:J70)</f>
        <v>0</v>
      </c>
      <c r="L70" s="25">
        <f>+B70-G70</f>
        <v>0</v>
      </c>
      <c r="M70" s="25">
        <f>+C70-H70</f>
        <v>4</v>
      </c>
      <c r="N70" s="25"/>
      <c r="O70" s="25">
        <f>+E70-J70</f>
        <v>0</v>
      </c>
      <c r="P70" s="26">
        <f>SUM(L70:O70)</f>
        <v>4</v>
      </c>
      <c r="Q70" s="18"/>
    </row>
    <row r="71" spans="1:17" ht="12.75" customHeight="1">
      <c r="A71" s="23" t="s">
        <v>21</v>
      </c>
      <c r="B71" s="29"/>
      <c r="C71" s="29"/>
      <c r="D71" s="29"/>
      <c r="E71" s="30"/>
      <c r="F71" s="24">
        <f>SUM(B71:E71)</f>
        <v>0</v>
      </c>
      <c r="G71" s="29"/>
      <c r="H71" s="29"/>
      <c r="I71" s="29"/>
      <c r="J71" s="29"/>
      <c r="K71" s="24">
        <f>SUM(G71:J71)</f>
        <v>0</v>
      </c>
      <c r="L71" s="25">
        <f>+B71-G71</f>
        <v>0</v>
      </c>
      <c r="M71" s="25">
        <f>+C71-H71</f>
        <v>0</v>
      </c>
      <c r="N71" s="25"/>
      <c r="O71" s="25">
        <f>+E71-J71</f>
        <v>0</v>
      </c>
      <c r="P71" s="26">
        <f>SUM(L71:O71)</f>
        <v>0</v>
      </c>
      <c r="Q71" s="18"/>
    </row>
    <row r="72" spans="1:17" ht="12.75" customHeight="1">
      <c r="A72" s="33"/>
      <c r="B72" s="25"/>
      <c r="C72" s="25"/>
      <c r="D72" s="25"/>
      <c r="E72" s="43"/>
      <c r="F72" s="24"/>
      <c r="G72" s="47"/>
      <c r="H72" s="47"/>
      <c r="I72" s="47"/>
      <c r="J72" s="47"/>
      <c r="K72" s="32"/>
      <c r="L72" s="25"/>
      <c r="M72" s="25"/>
      <c r="N72" s="25"/>
      <c r="O72" s="25"/>
      <c r="P72" s="26"/>
      <c r="Q72" s="18"/>
    </row>
    <row r="73" spans="1:17" ht="12.75" customHeight="1">
      <c r="A73" s="33" t="s">
        <v>107</v>
      </c>
      <c r="B73" s="17">
        <f t="shared" ref="B73:K73" si="33">+B74+B78</f>
        <v>38130723</v>
      </c>
      <c r="C73" s="17">
        <f t="shared" si="33"/>
        <v>6398107</v>
      </c>
      <c r="D73" s="17">
        <f t="shared" si="33"/>
        <v>0</v>
      </c>
      <c r="E73" s="17">
        <f t="shared" si="33"/>
        <v>250641</v>
      </c>
      <c r="F73" s="17">
        <f t="shared" si="33"/>
        <v>44779471</v>
      </c>
      <c r="G73" s="17">
        <f t="shared" si="33"/>
        <v>38085315</v>
      </c>
      <c r="H73" s="17">
        <f t="shared" si="33"/>
        <v>5812013</v>
      </c>
      <c r="I73" s="17">
        <f t="shared" si="33"/>
        <v>0</v>
      </c>
      <c r="J73" s="17">
        <f t="shared" si="33"/>
        <v>21254</v>
      </c>
      <c r="K73" s="17">
        <f t="shared" si="33"/>
        <v>43918582</v>
      </c>
      <c r="L73" s="17">
        <f>+L74+L78</f>
        <v>45408</v>
      </c>
      <c r="M73" s="17">
        <f>+M74+M78</f>
        <v>586094</v>
      </c>
      <c r="N73" s="17"/>
      <c r="O73" s="17">
        <f>+O74+O78</f>
        <v>229387</v>
      </c>
      <c r="P73" s="17">
        <f>+P74+P78</f>
        <v>860889</v>
      </c>
      <c r="Q73" s="18">
        <f>+K73/F73</f>
        <v>0.98077491804224304</v>
      </c>
    </row>
    <row r="74" spans="1:17" ht="12.75" customHeight="1">
      <c r="A74" s="41" t="s">
        <v>15</v>
      </c>
      <c r="B74" s="20">
        <f t="shared" ref="B74:K74" si="34">+B75+B76+B77</f>
        <v>38130723</v>
      </c>
      <c r="C74" s="20">
        <f t="shared" si="34"/>
        <v>6262498</v>
      </c>
      <c r="D74" s="20">
        <f t="shared" si="34"/>
        <v>0</v>
      </c>
      <c r="E74" s="20">
        <f t="shared" si="34"/>
        <v>79169</v>
      </c>
      <c r="F74" s="20">
        <f t="shared" si="34"/>
        <v>44472390</v>
      </c>
      <c r="G74" s="20">
        <f t="shared" si="34"/>
        <v>38085315</v>
      </c>
      <c r="H74" s="20">
        <f t="shared" si="34"/>
        <v>5676412</v>
      </c>
      <c r="I74" s="20">
        <f t="shared" si="34"/>
        <v>0</v>
      </c>
      <c r="J74" s="20">
        <f t="shared" si="34"/>
        <v>21254</v>
      </c>
      <c r="K74" s="20">
        <f t="shared" si="34"/>
        <v>43782981</v>
      </c>
      <c r="L74" s="20">
        <f>+L75+L76+L77</f>
        <v>45408</v>
      </c>
      <c r="M74" s="20">
        <f>+M75+M76+M77</f>
        <v>586086</v>
      </c>
      <c r="N74" s="20"/>
      <c r="O74" s="20">
        <f>+O75+O76+O77</f>
        <v>57915</v>
      </c>
      <c r="P74" s="21">
        <f>+P75+P76+P77</f>
        <v>689409</v>
      </c>
      <c r="Q74" s="18"/>
    </row>
    <row r="75" spans="1:17" ht="12.75" customHeight="1">
      <c r="A75" s="22" t="s">
        <v>16</v>
      </c>
      <c r="B75" s="29">
        <v>34584433</v>
      </c>
      <c r="C75" s="29">
        <v>6205998</v>
      </c>
      <c r="D75" s="29"/>
      <c r="E75" s="30">
        <v>79169</v>
      </c>
      <c r="F75" s="24">
        <f>SUM(B75:E75)</f>
        <v>40869600</v>
      </c>
      <c r="G75" s="29">
        <v>34539025</v>
      </c>
      <c r="H75" s="29">
        <v>5619912</v>
      </c>
      <c r="I75" s="29"/>
      <c r="J75" s="29">
        <v>21254</v>
      </c>
      <c r="K75" s="24">
        <f>SUM(G75:J75)</f>
        <v>40180191</v>
      </c>
      <c r="L75" s="25">
        <f t="shared" ref="L75:M77" si="35">+B75-G75</f>
        <v>45408</v>
      </c>
      <c r="M75" s="25">
        <f t="shared" si="35"/>
        <v>586086</v>
      </c>
      <c r="N75" s="25"/>
      <c r="O75" s="25">
        <f>+E75-J75</f>
        <v>57915</v>
      </c>
      <c r="P75" s="26">
        <f>SUM(L75:O75)</f>
        <v>689409</v>
      </c>
      <c r="Q75" s="18"/>
    </row>
    <row r="76" spans="1:17" ht="12.75" customHeight="1">
      <c r="A76" s="22" t="s">
        <v>17</v>
      </c>
      <c r="B76" s="29">
        <v>3522730</v>
      </c>
      <c r="C76" s="34"/>
      <c r="D76" s="34"/>
      <c r="E76" s="30"/>
      <c r="F76" s="24">
        <f>SUM(B76:E76)</f>
        <v>3522730</v>
      </c>
      <c r="G76" s="29">
        <v>3522730</v>
      </c>
      <c r="H76" s="29"/>
      <c r="I76" s="29"/>
      <c r="J76" s="34"/>
      <c r="K76" s="24">
        <f>SUM(G76:J76)</f>
        <v>3522730</v>
      </c>
      <c r="L76" s="25">
        <f t="shared" si="35"/>
        <v>0</v>
      </c>
      <c r="M76" s="25">
        <f t="shared" si="35"/>
        <v>0</v>
      </c>
      <c r="N76" s="25"/>
      <c r="O76" s="25">
        <f>+E76-J76</f>
        <v>0</v>
      </c>
      <c r="P76" s="26">
        <f>SUM(L76:O76)</f>
        <v>0</v>
      </c>
      <c r="Q76" s="18"/>
    </row>
    <row r="77" spans="1:17" ht="12.75" customHeight="1">
      <c r="A77" s="22" t="s">
        <v>18</v>
      </c>
      <c r="B77" s="29">
        <v>23560</v>
      </c>
      <c r="C77" s="29">
        <v>56500</v>
      </c>
      <c r="D77" s="29"/>
      <c r="E77" s="35"/>
      <c r="F77" s="24">
        <f>SUM(B77:E77)</f>
        <v>80060</v>
      </c>
      <c r="G77" s="29">
        <v>23560</v>
      </c>
      <c r="H77" s="29">
        <v>56500</v>
      </c>
      <c r="I77" s="29"/>
      <c r="J77" s="34"/>
      <c r="K77" s="24">
        <f>SUM(G77:J77)</f>
        <v>80060</v>
      </c>
      <c r="L77" s="25">
        <f t="shared" si="35"/>
        <v>0</v>
      </c>
      <c r="M77" s="25">
        <f t="shared" si="35"/>
        <v>0</v>
      </c>
      <c r="N77" s="25"/>
      <c r="O77" s="25">
        <f>+E77-J77</f>
        <v>0</v>
      </c>
      <c r="P77" s="26">
        <f>SUM(L77:O77)</f>
        <v>0</v>
      </c>
      <c r="Q77" s="18"/>
    </row>
    <row r="78" spans="1:17" ht="12.75" customHeight="1">
      <c r="A78" s="22" t="s">
        <v>19</v>
      </c>
      <c r="B78" s="27">
        <f t="shared" ref="B78:K78" si="36">+B79+B80</f>
        <v>0</v>
      </c>
      <c r="C78" s="27">
        <f t="shared" si="36"/>
        <v>135609</v>
      </c>
      <c r="D78" s="27">
        <f t="shared" si="36"/>
        <v>0</v>
      </c>
      <c r="E78" s="27">
        <f t="shared" si="36"/>
        <v>171472</v>
      </c>
      <c r="F78" s="27">
        <f t="shared" si="36"/>
        <v>307081</v>
      </c>
      <c r="G78" s="27">
        <f t="shared" si="36"/>
        <v>0</v>
      </c>
      <c r="H78" s="27">
        <f t="shared" si="36"/>
        <v>135601</v>
      </c>
      <c r="I78" s="27">
        <f t="shared" si="36"/>
        <v>0</v>
      </c>
      <c r="J78" s="27">
        <f t="shared" si="36"/>
        <v>0</v>
      </c>
      <c r="K78" s="27">
        <f t="shared" si="36"/>
        <v>135601</v>
      </c>
      <c r="L78" s="27">
        <f>+L79+L80</f>
        <v>0</v>
      </c>
      <c r="M78" s="27">
        <f>+M79+M80</f>
        <v>8</v>
      </c>
      <c r="N78" s="27"/>
      <c r="O78" s="27">
        <f>+O79+O80</f>
        <v>171472</v>
      </c>
      <c r="P78" s="28">
        <f>+P79+P80</f>
        <v>171480</v>
      </c>
      <c r="Q78" s="18"/>
    </row>
    <row r="79" spans="1:17" ht="12.75" customHeight="1">
      <c r="A79" s="23" t="s">
        <v>20</v>
      </c>
      <c r="B79" s="29"/>
      <c r="C79" s="29">
        <v>135609</v>
      </c>
      <c r="D79" s="29"/>
      <c r="E79" s="30"/>
      <c r="F79" s="24">
        <f>SUM(B79:E79)</f>
        <v>135609</v>
      </c>
      <c r="G79" s="29"/>
      <c r="H79" s="29">
        <v>135601</v>
      </c>
      <c r="I79" s="29"/>
      <c r="J79" s="29"/>
      <c r="K79" s="24">
        <f>SUM(G79:J79)</f>
        <v>135601</v>
      </c>
      <c r="L79" s="25">
        <f>+B79-G79</f>
        <v>0</v>
      </c>
      <c r="M79" s="25">
        <f>+C79-H79</f>
        <v>8</v>
      </c>
      <c r="N79" s="25"/>
      <c r="O79" s="25">
        <f>+E79-J79</f>
        <v>0</v>
      </c>
      <c r="P79" s="26">
        <f>SUM(L79:O79)</f>
        <v>8</v>
      </c>
      <c r="Q79" s="18"/>
    </row>
    <row r="80" spans="1:17" ht="12.75" customHeight="1">
      <c r="A80" s="23" t="s">
        <v>21</v>
      </c>
      <c r="B80" s="29"/>
      <c r="C80" s="29"/>
      <c r="D80" s="29"/>
      <c r="E80" s="30">
        <v>171472</v>
      </c>
      <c r="F80" s="24">
        <f>SUM(B80:E80)</f>
        <v>171472</v>
      </c>
      <c r="G80" s="29"/>
      <c r="H80" s="29"/>
      <c r="I80" s="29"/>
      <c r="J80" s="29"/>
      <c r="K80" s="24">
        <f>SUM(G80:J80)</f>
        <v>0</v>
      </c>
      <c r="L80" s="25">
        <f>+B80-G80</f>
        <v>0</v>
      </c>
      <c r="M80" s="25">
        <f>+C80-H80</f>
        <v>0</v>
      </c>
      <c r="N80" s="25"/>
      <c r="O80" s="25">
        <f>+E80-J80</f>
        <v>171472</v>
      </c>
      <c r="P80" s="26">
        <f>SUM(L80:O80)</f>
        <v>171472</v>
      </c>
      <c r="Q80" s="18"/>
    </row>
    <row r="81" spans="1:17" ht="12.75" customHeight="1">
      <c r="A81" s="33"/>
      <c r="B81" s="25"/>
      <c r="C81" s="25"/>
      <c r="D81" s="25"/>
      <c r="E81" s="43"/>
      <c r="F81" s="24"/>
      <c r="G81" s="25"/>
      <c r="H81" s="25"/>
      <c r="I81" s="25"/>
      <c r="J81" s="25"/>
      <c r="K81" s="24"/>
      <c r="L81" s="25"/>
      <c r="M81" s="25"/>
      <c r="N81" s="25"/>
      <c r="O81" s="25"/>
      <c r="P81" s="26"/>
      <c r="Q81" s="18"/>
    </row>
    <row r="82" spans="1:17" ht="12.75" customHeight="1">
      <c r="A82" s="33" t="s">
        <v>108</v>
      </c>
      <c r="B82" s="17">
        <f t="shared" ref="B82:K82" si="37">+B83+B87</f>
        <v>8493677</v>
      </c>
      <c r="C82" s="17">
        <f t="shared" si="37"/>
        <v>4920379</v>
      </c>
      <c r="D82" s="17">
        <f t="shared" si="37"/>
        <v>0</v>
      </c>
      <c r="E82" s="17">
        <f t="shared" si="37"/>
        <v>103068</v>
      </c>
      <c r="F82" s="17">
        <f t="shared" si="37"/>
        <v>13517124</v>
      </c>
      <c r="G82" s="17">
        <f t="shared" si="37"/>
        <v>8485840</v>
      </c>
      <c r="H82" s="17">
        <f t="shared" si="37"/>
        <v>4920377</v>
      </c>
      <c r="I82" s="17">
        <f t="shared" si="37"/>
        <v>0</v>
      </c>
      <c r="J82" s="17">
        <f t="shared" si="37"/>
        <v>102860</v>
      </c>
      <c r="K82" s="17">
        <f t="shared" si="37"/>
        <v>13509077</v>
      </c>
      <c r="L82" s="17">
        <f>+L83+L87</f>
        <v>7837</v>
      </c>
      <c r="M82" s="17">
        <f>+M83+M87</f>
        <v>2</v>
      </c>
      <c r="N82" s="17"/>
      <c r="O82" s="17">
        <f>+O83+O87</f>
        <v>208</v>
      </c>
      <c r="P82" s="17">
        <f>+P83+P87</f>
        <v>8047</v>
      </c>
      <c r="Q82" s="18">
        <f>+K82/F82</f>
        <v>0.99940468105493452</v>
      </c>
    </row>
    <row r="83" spans="1:17" ht="12.75" customHeight="1">
      <c r="A83" s="41" t="s">
        <v>15</v>
      </c>
      <c r="B83" s="20">
        <f t="shared" ref="B83:K83" si="38">+B84+B85+B86</f>
        <v>8493677</v>
      </c>
      <c r="C83" s="20">
        <f t="shared" si="38"/>
        <v>4920379</v>
      </c>
      <c r="D83" s="20">
        <f t="shared" si="38"/>
        <v>0</v>
      </c>
      <c r="E83" s="20">
        <f t="shared" si="38"/>
        <v>102860</v>
      </c>
      <c r="F83" s="20">
        <f t="shared" si="38"/>
        <v>13516916</v>
      </c>
      <c r="G83" s="20">
        <f t="shared" si="38"/>
        <v>8485840</v>
      </c>
      <c r="H83" s="20">
        <f t="shared" si="38"/>
        <v>4920377</v>
      </c>
      <c r="I83" s="20">
        <f t="shared" si="38"/>
        <v>0</v>
      </c>
      <c r="J83" s="20">
        <f t="shared" si="38"/>
        <v>102860</v>
      </c>
      <c r="K83" s="20">
        <f t="shared" si="38"/>
        <v>13509077</v>
      </c>
      <c r="L83" s="20">
        <f>+L84+L85+L86</f>
        <v>7837</v>
      </c>
      <c r="M83" s="20">
        <f>+M84+M85+M86</f>
        <v>2</v>
      </c>
      <c r="N83" s="20"/>
      <c r="O83" s="20">
        <f>+O84+O85+O86</f>
        <v>0</v>
      </c>
      <c r="P83" s="21">
        <f>+P84+P85+P86</f>
        <v>7839</v>
      </c>
      <c r="Q83" s="18"/>
    </row>
    <row r="84" spans="1:17" ht="12.75" customHeight="1">
      <c r="A84" s="22" t="s">
        <v>16</v>
      </c>
      <c r="B84" s="29">
        <v>7437984</v>
      </c>
      <c r="C84" s="29">
        <v>4915133</v>
      </c>
      <c r="D84" s="29"/>
      <c r="E84" s="30">
        <v>102860</v>
      </c>
      <c r="F84" s="24">
        <f>SUM(B84:E84)</f>
        <v>12455977</v>
      </c>
      <c r="G84" s="29">
        <f>7496539-58555</f>
        <v>7437984</v>
      </c>
      <c r="H84" s="29">
        <f>4908769-14789+21151</f>
        <v>4915131</v>
      </c>
      <c r="I84" s="29"/>
      <c r="J84" s="29">
        <v>102860</v>
      </c>
      <c r="K84" s="24">
        <f>SUM(G84:J84)</f>
        <v>12455975</v>
      </c>
      <c r="L84" s="25">
        <f t="shared" ref="L84:M86" si="39">+B84-G84</f>
        <v>0</v>
      </c>
      <c r="M84" s="25">
        <f t="shared" si="39"/>
        <v>2</v>
      </c>
      <c r="N84" s="25"/>
      <c r="O84" s="25">
        <f>+E84-J84</f>
        <v>0</v>
      </c>
      <c r="P84" s="26">
        <f>SUM(L84:O84)</f>
        <v>2</v>
      </c>
      <c r="Q84" s="18"/>
    </row>
    <row r="85" spans="1:17" ht="12.75" customHeight="1">
      <c r="A85" s="22" t="s">
        <v>17</v>
      </c>
      <c r="B85" s="29">
        <v>1027800</v>
      </c>
      <c r="C85" s="34">
        <v>1992</v>
      </c>
      <c r="D85" s="34"/>
      <c r="E85" s="30"/>
      <c r="F85" s="24">
        <f>SUM(B85:E85)</f>
        <v>1029792</v>
      </c>
      <c r="G85" s="29">
        <f>334431+693369</f>
        <v>1027800</v>
      </c>
      <c r="H85" s="29">
        <v>1992</v>
      </c>
      <c r="I85" s="29"/>
      <c r="J85" s="34"/>
      <c r="K85" s="24">
        <f>SUM(G85:J85)</f>
        <v>1029792</v>
      </c>
      <c r="L85" s="25">
        <f t="shared" si="39"/>
        <v>0</v>
      </c>
      <c r="M85" s="25">
        <f t="shared" si="39"/>
        <v>0</v>
      </c>
      <c r="N85" s="25"/>
      <c r="O85" s="25">
        <f>+E85-J85</f>
        <v>0</v>
      </c>
      <c r="P85" s="26">
        <f>SUM(L85:O85)</f>
        <v>0</v>
      </c>
      <c r="Q85" s="18"/>
    </row>
    <row r="86" spans="1:17" ht="12.75" customHeight="1">
      <c r="A86" s="22" t="s">
        <v>18</v>
      </c>
      <c r="B86" s="29">
        <v>27893</v>
      </c>
      <c r="C86" s="29">
        <v>3254</v>
      </c>
      <c r="D86" s="29"/>
      <c r="E86" s="35"/>
      <c r="F86" s="24">
        <f>SUM(B86:E86)</f>
        <v>31147</v>
      </c>
      <c r="G86" s="29">
        <v>20056</v>
      </c>
      <c r="H86" s="29">
        <v>3254</v>
      </c>
      <c r="I86" s="29"/>
      <c r="J86" s="34"/>
      <c r="K86" s="24">
        <f>SUM(G86:J86)</f>
        <v>23310</v>
      </c>
      <c r="L86" s="25">
        <f t="shared" si="39"/>
        <v>7837</v>
      </c>
      <c r="M86" s="25">
        <f t="shared" si="39"/>
        <v>0</v>
      </c>
      <c r="N86" s="25"/>
      <c r="O86" s="25">
        <f>+E86-J86</f>
        <v>0</v>
      </c>
      <c r="P86" s="26">
        <f>SUM(L86:O86)</f>
        <v>7837</v>
      </c>
      <c r="Q86" s="18"/>
    </row>
    <row r="87" spans="1:17" ht="12.75" customHeight="1">
      <c r="A87" s="22" t="s">
        <v>19</v>
      </c>
      <c r="B87" s="27">
        <f t="shared" ref="B87:K87" si="40">+B88+B89</f>
        <v>0</v>
      </c>
      <c r="C87" s="27">
        <f t="shared" si="40"/>
        <v>0</v>
      </c>
      <c r="D87" s="27">
        <f t="shared" si="40"/>
        <v>0</v>
      </c>
      <c r="E87" s="27">
        <f t="shared" si="40"/>
        <v>208</v>
      </c>
      <c r="F87" s="27">
        <f t="shared" si="40"/>
        <v>208</v>
      </c>
      <c r="G87" s="27">
        <f t="shared" si="40"/>
        <v>0</v>
      </c>
      <c r="H87" s="27">
        <f t="shared" si="40"/>
        <v>0</v>
      </c>
      <c r="I87" s="27">
        <f t="shared" si="40"/>
        <v>0</v>
      </c>
      <c r="J87" s="27">
        <f t="shared" si="40"/>
        <v>0</v>
      </c>
      <c r="K87" s="27">
        <f t="shared" si="40"/>
        <v>0</v>
      </c>
      <c r="L87" s="27">
        <f>+L88+L89</f>
        <v>0</v>
      </c>
      <c r="M87" s="27">
        <f>+M88+M89</f>
        <v>0</v>
      </c>
      <c r="N87" s="27"/>
      <c r="O87" s="27">
        <f>+O88+O89</f>
        <v>208</v>
      </c>
      <c r="P87" s="28">
        <f>+P88+P89</f>
        <v>208</v>
      </c>
      <c r="Q87" s="18"/>
    </row>
    <row r="88" spans="1:17" ht="12.75" customHeight="1">
      <c r="A88" s="23" t="s">
        <v>20</v>
      </c>
      <c r="B88" s="29"/>
      <c r="C88" s="29"/>
      <c r="D88" s="29"/>
      <c r="E88" s="30">
        <v>208</v>
      </c>
      <c r="F88" s="24">
        <f>SUM(B88:E88)</f>
        <v>208</v>
      </c>
      <c r="G88" s="29"/>
      <c r="H88" s="29"/>
      <c r="I88" s="29"/>
      <c r="J88" s="29"/>
      <c r="K88" s="24">
        <f>SUM(G88:J88)</f>
        <v>0</v>
      </c>
      <c r="L88" s="25">
        <f>+B88-G88</f>
        <v>0</v>
      </c>
      <c r="M88" s="25">
        <f>+C88-H88</f>
        <v>0</v>
      </c>
      <c r="N88" s="25"/>
      <c r="O88" s="25">
        <f>+E88-J88</f>
        <v>208</v>
      </c>
      <c r="P88" s="26">
        <f>SUM(L88:O88)</f>
        <v>208</v>
      </c>
      <c r="Q88" s="18"/>
    </row>
    <row r="89" spans="1:17" ht="12.75" customHeight="1">
      <c r="A89" s="23" t="s">
        <v>21</v>
      </c>
      <c r="B89" s="29"/>
      <c r="C89" s="29"/>
      <c r="D89" s="29"/>
      <c r="E89" s="30"/>
      <c r="F89" s="24">
        <f>SUM(B89:E89)</f>
        <v>0</v>
      </c>
      <c r="G89" s="29"/>
      <c r="H89" s="29"/>
      <c r="I89" s="29"/>
      <c r="J89" s="29"/>
      <c r="K89" s="24">
        <f>SUM(G89:J89)</f>
        <v>0</v>
      </c>
      <c r="L89" s="25">
        <f>+B89-G89</f>
        <v>0</v>
      </c>
      <c r="M89" s="25">
        <f>+C89-H89</f>
        <v>0</v>
      </c>
      <c r="N89" s="25"/>
      <c r="O89" s="25">
        <f>+E89-J89</f>
        <v>0</v>
      </c>
      <c r="P89" s="26">
        <f>SUM(L89:O89)</f>
        <v>0</v>
      </c>
      <c r="Q89" s="18"/>
    </row>
    <row r="90" spans="1:17" ht="12.75" customHeight="1">
      <c r="A90" s="33"/>
      <c r="B90" s="25"/>
      <c r="C90" s="25"/>
      <c r="D90" s="25"/>
      <c r="E90" s="43"/>
      <c r="F90" s="24"/>
      <c r="G90" s="47"/>
      <c r="H90" s="47"/>
      <c r="I90" s="47"/>
      <c r="J90" s="47"/>
      <c r="K90" s="32"/>
      <c r="L90" s="25"/>
      <c r="M90" s="25"/>
      <c r="N90" s="25"/>
      <c r="O90" s="25"/>
      <c r="P90" s="26"/>
      <c r="Q90" s="18"/>
    </row>
    <row r="91" spans="1:17" ht="12.75" customHeight="1">
      <c r="A91" s="33" t="s">
        <v>109</v>
      </c>
      <c r="B91" s="17">
        <f t="shared" ref="B91:K91" si="41">+B92+B96</f>
        <v>10439708</v>
      </c>
      <c r="C91" s="17">
        <f t="shared" si="41"/>
        <v>4442810</v>
      </c>
      <c r="D91" s="17">
        <f t="shared" si="41"/>
        <v>0</v>
      </c>
      <c r="E91" s="17">
        <f t="shared" si="41"/>
        <v>307207</v>
      </c>
      <c r="F91" s="17">
        <f t="shared" si="41"/>
        <v>15189725</v>
      </c>
      <c r="G91" s="17">
        <f t="shared" si="41"/>
        <v>10433475</v>
      </c>
      <c r="H91" s="17">
        <f t="shared" si="41"/>
        <v>4034587</v>
      </c>
      <c r="I91" s="17">
        <f t="shared" si="41"/>
        <v>0</v>
      </c>
      <c r="J91" s="17">
        <f t="shared" si="41"/>
        <v>66831</v>
      </c>
      <c r="K91" s="17">
        <f t="shared" si="41"/>
        <v>14534893</v>
      </c>
      <c r="L91" s="17">
        <f>+L92+L96</f>
        <v>6233</v>
      </c>
      <c r="M91" s="17">
        <f>+M92+M96</f>
        <v>408223</v>
      </c>
      <c r="N91" s="17"/>
      <c r="O91" s="17">
        <f>+O92+O96</f>
        <v>240376</v>
      </c>
      <c r="P91" s="17">
        <f>+P92+P96</f>
        <v>654832</v>
      </c>
      <c r="Q91" s="18">
        <f>+K91/F91</f>
        <v>0.95688980544414071</v>
      </c>
    </row>
    <row r="92" spans="1:17" ht="12.75" customHeight="1">
      <c r="A92" s="41" t="s">
        <v>15</v>
      </c>
      <c r="B92" s="20">
        <f t="shared" ref="B92:K92" si="42">+B93+B94+B95</f>
        <v>10439708</v>
      </c>
      <c r="C92" s="20">
        <f t="shared" si="42"/>
        <v>4440872</v>
      </c>
      <c r="D92" s="20">
        <f t="shared" si="42"/>
        <v>0</v>
      </c>
      <c r="E92" s="20">
        <f t="shared" si="42"/>
        <v>307207</v>
      </c>
      <c r="F92" s="20">
        <f t="shared" si="42"/>
        <v>15187787</v>
      </c>
      <c r="G92" s="20">
        <f t="shared" si="42"/>
        <v>10433475</v>
      </c>
      <c r="H92" s="20">
        <f t="shared" si="42"/>
        <v>4032654</v>
      </c>
      <c r="I92" s="20">
        <f t="shared" si="42"/>
        <v>0</v>
      </c>
      <c r="J92" s="20">
        <f t="shared" si="42"/>
        <v>66831</v>
      </c>
      <c r="K92" s="20">
        <f t="shared" si="42"/>
        <v>14532960</v>
      </c>
      <c r="L92" s="20">
        <f>+L93+L94+L95</f>
        <v>6233</v>
      </c>
      <c r="M92" s="20">
        <f>+M93+M94+M95</f>
        <v>408218</v>
      </c>
      <c r="N92" s="20"/>
      <c r="O92" s="20">
        <f>+O93+O94+O95</f>
        <v>240376</v>
      </c>
      <c r="P92" s="21">
        <f>+P93+P94+P95</f>
        <v>654827</v>
      </c>
      <c r="Q92" s="18"/>
    </row>
    <row r="93" spans="1:17" ht="12.75" customHeight="1">
      <c r="A93" s="22" t="s">
        <v>16</v>
      </c>
      <c r="B93" s="29">
        <v>9126908</v>
      </c>
      <c r="C93" s="29">
        <v>4440872</v>
      </c>
      <c r="D93" s="29"/>
      <c r="E93" s="30">
        <v>307207</v>
      </c>
      <c r="F93" s="24">
        <f>SUM(B93:E93)</f>
        <v>13874987</v>
      </c>
      <c r="G93" s="29">
        <f>174597+8957116-4805</f>
        <v>9126908</v>
      </c>
      <c r="H93" s="29">
        <v>4032654</v>
      </c>
      <c r="I93" s="29"/>
      <c r="J93" s="29">
        <v>66831</v>
      </c>
      <c r="K93" s="24">
        <f>SUM(G93:J93)</f>
        <v>13226393</v>
      </c>
      <c r="L93" s="25">
        <f t="shared" ref="L93:M95" si="43">+B93-G93</f>
        <v>0</v>
      </c>
      <c r="M93" s="25">
        <f t="shared" si="43"/>
        <v>408218</v>
      </c>
      <c r="N93" s="25"/>
      <c r="O93" s="25">
        <f>+E93-J93</f>
        <v>240376</v>
      </c>
      <c r="P93" s="26">
        <f>SUM(L93:O93)</f>
        <v>648594</v>
      </c>
      <c r="Q93" s="18"/>
    </row>
    <row r="94" spans="1:17" ht="12.75" customHeight="1">
      <c r="A94" s="22" t="s">
        <v>17</v>
      </c>
      <c r="B94" s="29">
        <v>1296559</v>
      </c>
      <c r="C94" s="34"/>
      <c r="D94" s="34"/>
      <c r="E94" s="30"/>
      <c r="F94" s="24">
        <f>SUM(B94:E94)</f>
        <v>1296559</v>
      </c>
      <c r="G94" s="29">
        <v>1290326</v>
      </c>
      <c r="H94" s="29"/>
      <c r="I94" s="29"/>
      <c r="J94" s="34"/>
      <c r="K94" s="24">
        <f>SUM(G94:J94)</f>
        <v>1290326</v>
      </c>
      <c r="L94" s="25">
        <f t="shared" si="43"/>
        <v>6233</v>
      </c>
      <c r="M94" s="25">
        <f t="shared" si="43"/>
        <v>0</v>
      </c>
      <c r="N94" s="25"/>
      <c r="O94" s="25">
        <f>+E94-J94</f>
        <v>0</v>
      </c>
      <c r="P94" s="26">
        <f>SUM(L94:O94)</f>
        <v>6233</v>
      </c>
      <c r="Q94" s="18"/>
    </row>
    <row r="95" spans="1:17" ht="12.75" customHeight="1">
      <c r="A95" s="22" t="s">
        <v>18</v>
      </c>
      <c r="B95" s="29">
        <v>16241</v>
      </c>
      <c r="C95" s="34"/>
      <c r="D95" s="34"/>
      <c r="E95" s="35"/>
      <c r="F95" s="24">
        <f>SUM(B95:E95)</f>
        <v>16241</v>
      </c>
      <c r="G95" s="29">
        <f>11436+4805</f>
        <v>16241</v>
      </c>
      <c r="H95" s="34"/>
      <c r="I95" s="34"/>
      <c r="J95" s="34"/>
      <c r="K95" s="24">
        <f>SUM(G95:J95)</f>
        <v>16241</v>
      </c>
      <c r="L95" s="25">
        <f t="shared" si="43"/>
        <v>0</v>
      </c>
      <c r="M95" s="25">
        <f t="shared" si="43"/>
        <v>0</v>
      </c>
      <c r="N95" s="25"/>
      <c r="O95" s="25">
        <f>+E95-J95</f>
        <v>0</v>
      </c>
      <c r="P95" s="26">
        <f>SUM(L95:O95)</f>
        <v>0</v>
      </c>
      <c r="Q95" s="18"/>
    </row>
    <row r="96" spans="1:17" ht="12.75" customHeight="1">
      <c r="A96" s="22" t="s">
        <v>19</v>
      </c>
      <c r="B96" s="27">
        <f t="shared" ref="B96:K96" si="44">+B97+B98</f>
        <v>0</v>
      </c>
      <c r="C96" s="27">
        <f t="shared" si="44"/>
        <v>1938</v>
      </c>
      <c r="D96" s="27">
        <f t="shared" si="44"/>
        <v>0</v>
      </c>
      <c r="E96" s="27">
        <f t="shared" si="44"/>
        <v>0</v>
      </c>
      <c r="F96" s="27">
        <f t="shared" si="44"/>
        <v>1938</v>
      </c>
      <c r="G96" s="27">
        <f t="shared" si="44"/>
        <v>0</v>
      </c>
      <c r="H96" s="27">
        <f t="shared" si="44"/>
        <v>1933</v>
      </c>
      <c r="I96" s="27">
        <f t="shared" si="44"/>
        <v>0</v>
      </c>
      <c r="J96" s="27">
        <f t="shared" si="44"/>
        <v>0</v>
      </c>
      <c r="K96" s="27">
        <f t="shared" si="44"/>
        <v>1933</v>
      </c>
      <c r="L96" s="27">
        <f>+L97+L98</f>
        <v>0</v>
      </c>
      <c r="M96" s="27">
        <f>+M97+M98</f>
        <v>5</v>
      </c>
      <c r="N96" s="27"/>
      <c r="O96" s="27">
        <f>+O97+O98</f>
        <v>0</v>
      </c>
      <c r="P96" s="28">
        <f>+P97+P98</f>
        <v>5</v>
      </c>
      <c r="Q96" s="18"/>
    </row>
    <row r="97" spans="1:18" ht="12.75" customHeight="1">
      <c r="A97" s="23" t="s">
        <v>20</v>
      </c>
      <c r="B97" s="29"/>
      <c r="C97" s="29">
        <v>1938</v>
      </c>
      <c r="D97" s="29"/>
      <c r="E97" s="30"/>
      <c r="F97" s="24">
        <f>SUM(B97:E97)</f>
        <v>1938</v>
      </c>
      <c r="G97" s="29"/>
      <c r="H97" s="29">
        <v>1933</v>
      </c>
      <c r="I97" s="29"/>
      <c r="J97" s="29"/>
      <c r="K97" s="24">
        <f>SUM(G97:J97)</f>
        <v>1933</v>
      </c>
      <c r="L97" s="25">
        <f>+B97-G97</f>
        <v>0</v>
      </c>
      <c r="M97" s="25">
        <f>+C97-H97</f>
        <v>5</v>
      </c>
      <c r="N97" s="25"/>
      <c r="O97" s="25">
        <f>+E97-J97</f>
        <v>0</v>
      </c>
      <c r="P97" s="26">
        <f>SUM(L97:O97)</f>
        <v>5</v>
      </c>
      <c r="Q97" s="18"/>
    </row>
    <row r="98" spans="1:18" ht="12.75" customHeight="1">
      <c r="A98" s="23" t="s">
        <v>21</v>
      </c>
      <c r="B98" s="29"/>
      <c r="C98" s="29"/>
      <c r="D98" s="29"/>
      <c r="E98" s="30"/>
      <c r="F98" s="24">
        <f>SUM(B98:E98)</f>
        <v>0</v>
      </c>
      <c r="G98" s="29"/>
      <c r="H98" s="29"/>
      <c r="I98" s="29"/>
      <c r="J98" s="29"/>
      <c r="K98" s="24">
        <f>SUM(G98:J98)</f>
        <v>0</v>
      </c>
      <c r="L98" s="25">
        <f>+B98-G98</f>
        <v>0</v>
      </c>
      <c r="M98" s="25">
        <f>+C98-H98</f>
        <v>0</v>
      </c>
      <c r="N98" s="25"/>
      <c r="O98" s="25">
        <f>+E98-J98</f>
        <v>0</v>
      </c>
      <c r="P98" s="26">
        <f>SUM(L98:O98)</f>
        <v>0</v>
      </c>
      <c r="Q98" s="18"/>
    </row>
    <row r="99" spans="1:18" ht="12.75" customHeight="1">
      <c r="A99" s="33"/>
      <c r="B99" s="25"/>
      <c r="C99" s="25"/>
      <c r="D99" s="25"/>
      <c r="E99" s="43"/>
      <c r="F99" s="24"/>
      <c r="G99" s="47"/>
      <c r="H99" s="47"/>
      <c r="I99" s="47"/>
      <c r="J99" s="47"/>
      <c r="K99" s="32"/>
      <c r="L99" s="25"/>
      <c r="M99" s="25"/>
      <c r="N99" s="25"/>
      <c r="O99" s="25"/>
      <c r="P99" s="26"/>
      <c r="Q99" s="18"/>
    </row>
    <row r="100" spans="1:18" ht="12.75" customHeight="1">
      <c r="A100" s="33" t="s">
        <v>110</v>
      </c>
      <c r="B100" s="17">
        <f t="shared" ref="B100:K100" si="45">+B101+B105</f>
        <v>36945318</v>
      </c>
      <c r="C100" s="17">
        <f t="shared" si="45"/>
        <v>4625901</v>
      </c>
      <c r="D100" s="17">
        <f t="shared" si="45"/>
        <v>19</v>
      </c>
      <c r="E100" s="17">
        <f t="shared" si="45"/>
        <v>12259550</v>
      </c>
      <c r="F100" s="17">
        <f t="shared" si="45"/>
        <v>53830788</v>
      </c>
      <c r="G100" s="17">
        <f t="shared" si="45"/>
        <v>36822400</v>
      </c>
      <c r="H100" s="17">
        <f t="shared" si="45"/>
        <v>4180072</v>
      </c>
      <c r="I100" s="17">
        <f t="shared" si="45"/>
        <v>0</v>
      </c>
      <c r="J100" s="17">
        <f t="shared" si="45"/>
        <v>9775013</v>
      </c>
      <c r="K100" s="17">
        <f t="shared" si="45"/>
        <v>50777485</v>
      </c>
      <c r="L100" s="17">
        <f>+L101+L105</f>
        <v>122918</v>
      </c>
      <c r="M100" s="17">
        <f>+M101+M105</f>
        <v>445829</v>
      </c>
      <c r="N100" s="17">
        <f>+N101+N105</f>
        <v>19</v>
      </c>
      <c r="O100" s="17">
        <f>+O101+O105</f>
        <v>2484537</v>
      </c>
      <c r="P100" s="17">
        <f>+P101+P105</f>
        <v>3053303</v>
      </c>
      <c r="Q100" s="18">
        <f>+K100/F100</f>
        <v>0.94327961537549854</v>
      </c>
      <c r="R100" s="54"/>
    </row>
    <row r="101" spans="1:18" ht="12.75" customHeight="1">
      <c r="A101" s="41" t="s">
        <v>15</v>
      </c>
      <c r="B101" s="20">
        <f t="shared" ref="B101:K101" si="46">+B102+B103+B104</f>
        <v>36945318</v>
      </c>
      <c r="C101" s="20">
        <f t="shared" si="46"/>
        <v>4403248</v>
      </c>
      <c r="D101" s="20">
        <f t="shared" si="46"/>
        <v>19</v>
      </c>
      <c r="E101" s="20">
        <f t="shared" si="46"/>
        <v>12256674</v>
      </c>
      <c r="F101" s="20">
        <f t="shared" si="46"/>
        <v>53605259</v>
      </c>
      <c r="G101" s="20">
        <f t="shared" si="46"/>
        <v>36822400</v>
      </c>
      <c r="H101" s="20">
        <f t="shared" si="46"/>
        <v>4097731</v>
      </c>
      <c r="I101" s="20">
        <f t="shared" si="46"/>
        <v>0</v>
      </c>
      <c r="J101" s="20">
        <f t="shared" si="46"/>
        <v>9772255</v>
      </c>
      <c r="K101" s="20">
        <f t="shared" si="46"/>
        <v>50692386</v>
      </c>
      <c r="L101" s="20">
        <f t="shared" ref="L101:P101" si="47">+L102+L103+L104</f>
        <v>122918</v>
      </c>
      <c r="M101" s="20">
        <f t="shared" si="47"/>
        <v>305517</v>
      </c>
      <c r="N101" s="20">
        <f t="shared" si="47"/>
        <v>19</v>
      </c>
      <c r="O101" s="20">
        <f t="shared" si="47"/>
        <v>2484419</v>
      </c>
      <c r="P101" s="21">
        <f t="shared" si="47"/>
        <v>2912873</v>
      </c>
      <c r="Q101" s="18"/>
      <c r="R101" s="54"/>
    </row>
    <row r="102" spans="1:18" ht="12.75" customHeight="1">
      <c r="A102" s="22" t="s">
        <v>16</v>
      </c>
      <c r="B102" s="29">
        <v>2606112</v>
      </c>
      <c r="C102" s="29">
        <v>3651750</v>
      </c>
      <c r="D102" s="29">
        <v>19</v>
      </c>
      <c r="E102" s="30">
        <v>4858320</v>
      </c>
      <c r="F102" s="24">
        <f>SUM(B102:E102)</f>
        <v>11116201</v>
      </c>
      <c r="G102" s="29">
        <v>2538731</v>
      </c>
      <c r="H102" s="29">
        <v>3457730</v>
      </c>
      <c r="I102" s="29">
        <v>0</v>
      </c>
      <c r="J102" s="29">
        <v>4827823</v>
      </c>
      <c r="K102" s="24">
        <f>SUM(G102:J102)</f>
        <v>10824284</v>
      </c>
      <c r="L102" s="25">
        <f t="shared" ref="L102:M104" si="48">+B102-G102</f>
        <v>67381</v>
      </c>
      <c r="M102" s="25">
        <f t="shared" si="48"/>
        <v>194020</v>
      </c>
      <c r="N102" s="25">
        <f>+D102-I102</f>
        <v>19</v>
      </c>
      <c r="O102" s="25">
        <f>+E102-J102</f>
        <v>30497</v>
      </c>
      <c r="P102" s="26">
        <f>SUM(L102:O102)</f>
        <v>291917</v>
      </c>
      <c r="Q102" s="18"/>
      <c r="R102" s="55"/>
    </row>
    <row r="103" spans="1:18" ht="12.75" customHeight="1">
      <c r="A103" s="22" t="s">
        <v>17</v>
      </c>
      <c r="B103" s="29">
        <v>34292063</v>
      </c>
      <c r="C103" s="29">
        <v>111497</v>
      </c>
      <c r="D103" s="29"/>
      <c r="E103" s="30">
        <f>9000+4944432</f>
        <v>4953432</v>
      </c>
      <c r="F103" s="24">
        <f>SUM(B103:E103)</f>
        <v>39356992</v>
      </c>
      <c r="G103" s="29">
        <v>34237114</v>
      </c>
      <c r="H103" s="29">
        <v>0</v>
      </c>
      <c r="I103" s="29">
        <v>0</v>
      </c>
      <c r="J103" s="29">
        <v>4944432</v>
      </c>
      <c r="K103" s="24">
        <f>SUM(G103:J103)</f>
        <v>39181546</v>
      </c>
      <c r="L103" s="25">
        <f t="shared" si="48"/>
        <v>54949</v>
      </c>
      <c r="M103" s="25">
        <f t="shared" si="48"/>
        <v>111497</v>
      </c>
      <c r="N103" s="25"/>
      <c r="O103" s="25">
        <f>+E103-J103</f>
        <v>9000</v>
      </c>
      <c r="P103" s="26">
        <f>SUM(L103:O103)</f>
        <v>175446</v>
      </c>
      <c r="Q103" s="56"/>
      <c r="R103" s="55"/>
    </row>
    <row r="104" spans="1:18" ht="12.75" customHeight="1">
      <c r="A104" s="22" t="s">
        <v>18</v>
      </c>
      <c r="B104" s="29">
        <v>47143</v>
      </c>
      <c r="C104" s="29">
        <v>640001</v>
      </c>
      <c r="D104" s="29"/>
      <c r="E104" s="30">
        <v>2444922</v>
      </c>
      <c r="F104" s="24">
        <f>SUM(B104:E104)</f>
        <v>3132066</v>
      </c>
      <c r="G104" s="29">
        <v>46555</v>
      </c>
      <c r="H104" s="29">
        <v>640001</v>
      </c>
      <c r="I104" s="29">
        <v>0</v>
      </c>
      <c r="J104" s="29">
        <v>0</v>
      </c>
      <c r="K104" s="24">
        <f>SUM(G104:J104)</f>
        <v>686556</v>
      </c>
      <c r="L104" s="25">
        <f t="shared" si="48"/>
        <v>588</v>
      </c>
      <c r="M104" s="25">
        <f t="shared" si="48"/>
        <v>0</v>
      </c>
      <c r="N104" s="25"/>
      <c r="O104" s="25">
        <f>+E104-J104</f>
        <v>2444922</v>
      </c>
      <c r="P104" s="26">
        <f>SUM(L104:O104)</f>
        <v>2445510</v>
      </c>
      <c r="Q104" s="56"/>
      <c r="R104" s="55"/>
    </row>
    <row r="105" spans="1:18" ht="12.75" customHeight="1">
      <c r="A105" s="22" t="s">
        <v>19</v>
      </c>
      <c r="B105" s="27">
        <f t="shared" ref="B105:K105" si="49">+B106+B107</f>
        <v>0</v>
      </c>
      <c r="C105" s="27">
        <f t="shared" si="49"/>
        <v>222653</v>
      </c>
      <c r="D105" s="27">
        <f t="shared" si="49"/>
        <v>0</v>
      </c>
      <c r="E105" s="27">
        <f t="shared" si="49"/>
        <v>2876</v>
      </c>
      <c r="F105" s="27">
        <f t="shared" si="49"/>
        <v>225529</v>
      </c>
      <c r="G105" s="27">
        <f t="shared" si="49"/>
        <v>0</v>
      </c>
      <c r="H105" s="27">
        <f t="shared" si="49"/>
        <v>82341</v>
      </c>
      <c r="I105" s="27">
        <f t="shared" si="49"/>
        <v>0</v>
      </c>
      <c r="J105" s="27">
        <f t="shared" si="49"/>
        <v>2758</v>
      </c>
      <c r="K105" s="27">
        <f t="shared" si="49"/>
        <v>85099</v>
      </c>
      <c r="L105" s="27">
        <f>+L106+L107</f>
        <v>0</v>
      </c>
      <c r="M105" s="27">
        <f>+M106+M107</f>
        <v>140312</v>
      </c>
      <c r="N105" s="27"/>
      <c r="O105" s="27">
        <f>+O106+O107</f>
        <v>118</v>
      </c>
      <c r="P105" s="28">
        <f>+P106+P107</f>
        <v>140430</v>
      </c>
      <c r="Q105" s="56"/>
      <c r="R105" s="55"/>
    </row>
    <row r="106" spans="1:18" ht="12.75" customHeight="1">
      <c r="A106" s="23" t="s">
        <v>20</v>
      </c>
      <c r="B106" s="29"/>
      <c r="C106" s="29">
        <v>222653</v>
      </c>
      <c r="D106" s="29"/>
      <c r="E106" s="30">
        <v>2876</v>
      </c>
      <c r="F106" s="24">
        <f>SUM(B106:E106)</f>
        <v>225529</v>
      </c>
      <c r="G106" s="29"/>
      <c r="H106" s="29">
        <v>82341</v>
      </c>
      <c r="I106" s="29">
        <v>0</v>
      </c>
      <c r="J106" s="29">
        <v>2758</v>
      </c>
      <c r="K106" s="24">
        <f>SUM(G106:J106)</f>
        <v>85099</v>
      </c>
      <c r="L106" s="25">
        <f>+B106-G106</f>
        <v>0</v>
      </c>
      <c r="M106" s="25">
        <f>+C106-H106</f>
        <v>140312</v>
      </c>
      <c r="N106" s="25"/>
      <c r="O106" s="25">
        <f>+E106-J106</f>
        <v>118</v>
      </c>
      <c r="P106" s="26">
        <f>SUM(L106:O106)</f>
        <v>140430</v>
      </c>
      <c r="Q106" s="56"/>
      <c r="R106" s="55"/>
    </row>
    <row r="107" spans="1:18" ht="12.75" customHeight="1">
      <c r="A107" s="23" t="s">
        <v>21</v>
      </c>
      <c r="B107" s="29"/>
      <c r="C107" s="29"/>
      <c r="D107" s="29"/>
      <c r="E107" s="30"/>
      <c r="F107" s="24">
        <f>SUM(B107:E107)</f>
        <v>0</v>
      </c>
      <c r="G107" s="29"/>
      <c r="H107" s="29"/>
      <c r="I107" s="29"/>
      <c r="J107" s="29">
        <v>0</v>
      </c>
      <c r="K107" s="24">
        <f>SUM(G107:J107)</f>
        <v>0</v>
      </c>
      <c r="L107" s="25">
        <f>+B107-G107</f>
        <v>0</v>
      </c>
      <c r="M107" s="25">
        <f>+C107-H107</f>
        <v>0</v>
      </c>
      <c r="N107" s="25"/>
      <c r="O107" s="25">
        <f>+E107-J107</f>
        <v>0</v>
      </c>
      <c r="P107" s="26">
        <f>SUM(L107:O107)</f>
        <v>0</v>
      </c>
      <c r="Q107" s="56"/>
      <c r="R107" s="55"/>
    </row>
    <row r="108" spans="1:18" ht="12.75" customHeight="1">
      <c r="A108" s="65"/>
      <c r="B108" s="44"/>
      <c r="C108" s="44"/>
      <c r="D108" s="44"/>
      <c r="E108" s="45"/>
      <c r="F108" s="77"/>
      <c r="G108" s="84"/>
      <c r="H108" s="84"/>
      <c r="I108" s="84"/>
      <c r="J108" s="84"/>
      <c r="K108" s="82"/>
      <c r="L108" s="44"/>
      <c r="M108" s="44"/>
      <c r="N108" s="44"/>
      <c r="O108" s="44"/>
      <c r="P108" s="75"/>
      <c r="Q108" s="76"/>
    </row>
    <row r="109" spans="1:18">
      <c r="A109" s="80"/>
    </row>
    <row r="110" spans="1:18">
      <c r="A110" s="80"/>
    </row>
    <row r="111" spans="1:18">
      <c r="A111" s="80"/>
    </row>
    <row r="112" spans="1:18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1"/>
  <pageSetup paperSize="9" scale="71" fitToWidth="0" fitToHeight="0" orientation="landscape" r:id="rId1"/>
  <headerFooter alignWithMargins="0">
    <oddFooter>Page &amp;P of &amp;N</oddFooter>
  </headerFooter>
  <rowBreaks count="1" manualBreakCount="1">
    <brk id="54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R1128"/>
  <sheetViews>
    <sheetView showRuler="0" zoomScaleSheetLayoutView="100" workbookViewId="0">
      <pane xSplit="1" ySplit="8" topLeftCell="B9" activePane="bottomRight" state="frozen"/>
      <selection activeCell="A155" sqref="A155:Q155"/>
      <selection pane="topRight" activeCell="A155" sqref="A155:Q155"/>
      <selection pane="bottomLeft" activeCell="A155" sqref="A155:Q155"/>
      <selection pane="bottomRight" activeCell="A155" sqref="A155:Q155"/>
    </sheetView>
  </sheetViews>
  <sheetFormatPr defaultRowHeight="12.75"/>
  <cols>
    <col min="1" max="1" width="32.57031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1" t="s">
        <v>111</v>
      </c>
      <c r="B10" s="17">
        <f t="shared" ref="B10:J10" si="0">+B11+B16+B15</f>
        <v>6837729</v>
      </c>
      <c r="C10" s="17">
        <f t="shared" si="0"/>
        <v>13189548</v>
      </c>
      <c r="D10" s="17">
        <f t="shared" si="0"/>
        <v>0</v>
      </c>
      <c r="E10" s="17">
        <f t="shared" si="0"/>
        <v>254890891</v>
      </c>
      <c r="F10" s="17">
        <f t="shared" si="0"/>
        <v>274918168</v>
      </c>
      <c r="G10" s="17">
        <f t="shared" si="0"/>
        <v>6673098</v>
      </c>
      <c r="H10" s="17">
        <f t="shared" si="0"/>
        <v>11142774</v>
      </c>
      <c r="I10" s="17"/>
      <c r="J10" s="17">
        <f t="shared" si="0"/>
        <v>172724745</v>
      </c>
      <c r="K10" s="17">
        <f>+K11+K16+K15</f>
        <v>190540617</v>
      </c>
      <c r="L10" s="17">
        <f t="shared" ref="L10:P10" si="1">+L11+L16+L15</f>
        <v>164631</v>
      </c>
      <c r="M10" s="17">
        <f t="shared" si="1"/>
        <v>2046774</v>
      </c>
      <c r="N10" s="17"/>
      <c r="O10" s="17">
        <f t="shared" si="1"/>
        <v>82166146</v>
      </c>
      <c r="P10" s="17">
        <f t="shared" si="1"/>
        <v>84377551</v>
      </c>
      <c r="Q10" s="18">
        <f>+K10/F10</f>
        <v>0.69308121171533488</v>
      </c>
    </row>
    <row r="11" spans="1:18" ht="12.75" customHeight="1">
      <c r="A11" s="41" t="s">
        <v>15</v>
      </c>
      <c r="B11" s="20">
        <f t="shared" ref="B11:J11" si="2">+B12+B13+B14</f>
        <v>6837729</v>
      </c>
      <c r="C11" s="20">
        <f t="shared" si="2"/>
        <v>12688001</v>
      </c>
      <c r="D11" s="20">
        <f t="shared" si="2"/>
        <v>0</v>
      </c>
      <c r="E11" s="20">
        <f t="shared" si="2"/>
        <v>229496842</v>
      </c>
      <c r="F11" s="20">
        <f t="shared" si="2"/>
        <v>249022572</v>
      </c>
      <c r="G11" s="20">
        <f t="shared" si="2"/>
        <v>6673098</v>
      </c>
      <c r="H11" s="20">
        <f t="shared" si="2"/>
        <v>10945630</v>
      </c>
      <c r="I11" s="20"/>
      <c r="J11" s="20">
        <f t="shared" si="2"/>
        <v>156371168</v>
      </c>
      <c r="K11" s="20">
        <f>+K12+K13+K14</f>
        <v>173989896</v>
      </c>
      <c r="L11" s="20">
        <f>+L12+L13+L14</f>
        <v>164631</v>
      </c>
      <c r="M11" s="20">
        <f>+M12+M13+M14</f>
        <v>1742371</v>
      </c>
      <c r="N11" s="20"/>
      <c r="O11" s="20">
        <f>+O12+O13+O14</f>
        <v>73125674</v>
      </c>
      <c r="P11" s="21">
        <f>+P12+P13+P14</f>
        <v>75032676</v>
      </c>
      <c r="Q11" s="18"/>
    </row>
    <row r="12" spans="1:18" ht="12.75" customHeight="1">
      <c r="A12" s="22" t="s">
        <v>16</v>
      </c>
      <c r="B12" s="25">
        <v>5606649</v>
      </c>
      <c r="C12" s="25">
        <v>9477024</v>
      </c>
      <c r="D12" s="25"/>
      <c r="E12" s="43">
        <v>216008494</v>
      </c>
      <c r="F12" s="24">
        <f>SUM(B12:E12)</f>
        <v>231092167</v>
      </c>
      <c r="G12" s="29">
        <v>5483504</v>
      </c>
      <c r="H12" s="29">
        <v>7734653</v>
      </c>
      <c r="I12" s="29"/>
      <c r="J12" s="29">
        <v>146960873</v>
      </c>
      <c r="K12" s="24">
        <f>SUM(G12:J12)</f>
        <v>160179030</v>
      </c>
      <c r="L12" s="25">
        <f t="shared" ref="L12:M15" si="3">+B12-G12</f>
        <v>123145</v>
      </c>
      <c r="M12" s="25">
        <f t="shared" si="3"/>
        <v>1742371</v>
      </c>
      <c r="N12" s="25"/>
      <c r="O12" s="25">
        <f>+E12-J12</f>
        <v>69047621</v>
      </c>
      <c r="P12" s="26">
        <f>SUM(L12:O12)</f>
        <v>70913137</v>
      </c>
      <c r="Q12" s="18"/>
    </row>
    <row r="13" spans="1:18" ht="12.75" customHeight="1">
      <c r="A13" s="22" t="s">
        <v>17</v>
      </c>
      <c r="B13" s="25">
        <v>698486</v>
      </c>
      <c r="C13" s="25"/>
      <c r="D13" s="25"/>
      <c r="E13" s="43">
        <f>3708774+44056</f>
        <v>3752830</v>
      </c>
      <c r="F13" s="24">
        <f>SUM(B13:E13)</f>
        <v>4451316</v>
      </c>
      <c r="G13" s="29">
        <f>500557+179938</f>
        <v>680495</v>
      </c>
      <c r="H13" s="34"/>
      <c r="I13" s="34"/>
      <c r="J13" s="29">
        <v>1102690</v>
      </c>
      <c r="K13" s="24">
        <f>SUM(G13:J13)</f>
        <v>1783185</v>
      </c>
      <c r="L13" s="25">
        <f t="shared" si="3"/>
        <v>17991</v>
      </c>
      <c r="M13" s="25">
        <f t="shared" si="3"/>
        <v>0</v>
      </c>
      <c r="N13" s="25"/>
      <c r="O13" s="25">
        <f>+E13-J13</f>
        <v>2650140</v>
      </c>
      <c r="P13" s="26">
        <f>SUM(L13:O13)</f>
        <v>2668131</v>
      </c>
      <c r="Q13" s="18"/>
    </row>
    <row r="14" spans="1:18" ht="12.75" customHeight="1">
      <c r="A14" s="22" t="s">
        <v>18</v>
      </c>
      <c r="B14" s="25">
        <v>532594</v>
      </c>
      <c r="C14" s="25">
        <v>3210977</v>
      </c>
      <c r="D14" s="25"/>
      <c r="E14" s="43">
        <v>9735518</v>
      </c>
      <c r="F14" s="24">
        <f>SUM(B14:E14)</f>
        <v>13479089</v>
      </c>
      <c r="G14" s="29">
        <f>503768+5331</f>
        <v>509099</v>
      </c>
      <c r="H14" s="29">
        <f>6750+1379193+1138455+440048+451695-205164</f>
        <v>3210977</v>
      </c>
      <c r="I14" s="29"/>
      <c r="J14" s="24">
        <f>8056771+45670+205164</f>
        <v>8307605</v>
      </c>
      <c r="K14" s="24">
        <f>SUM(G14:J14)</f>
        <v>12027681</v>
      </c>
      <c r="L14" s="25">
        <f t="shared" si="3"/>
        <v>23495</v>
      </c>
      <c r="M14" s="25">
        <f t="shared" si="3"/>
        <v>0</v>
      </c>
      <c r="N14" s="25"/>
      <c r="O14" s="25">
        <f>+E14-J14</f>
        <v>1427913</v>
      </c>
      <c r="P14" s="26">
        <f>SUM(L14:O14)</f>
        <v>1451408</v>
      </c>
      <c r="Q14" s="18"/>
    </row>
    <row r="15" spans="1:18" ht="12.75" customHeight="1">
      <c r="A15" s="22" t="s">
        <v>30</v>
      </c>
      <c r="B15" s="25"/>
      <c r="C15" s="25"/>
      <c r="D15" s="25"/>
      <c r="E15" s="43">
        <v>5450443</v>
      </c>
      <c r="F15" s="24">
        <f>+E15</f>
        <v>5450443</v>
      </c>
      <c r="G15" s="29"/>
      <c r="H15" s="29"/>
      <c r="I15" s="29"/>
      <c r="J15" s="29">
        <v>5204103</v>
      </c>
      <c r="K15" s="24">
        <f>SUM(G15:J15)</f>
        <v>5204103</v>
      </c>
      <c r="L15" s="25">
        <f t="shared" si="3"/>
        <v>0</v>
      </c>
      <c r="M15" s="25">
        <f t="shared" si="3"/>
        <v>0</v>
      </c>
      <c r="N15" s="25"/>
      <c r="O15" s="25">
        <f>+E15-J15</f>
        <v>246340</v>
      </c>
      <c r="P15" s="26">
        <f>SUM(L15:O15)</f>
        <v>246340</v>
      </c>
      <c r="Q15" s="18"/>
    </row>
    <row r="16" spans="1:18" ht="12.75" customHeight="1">
      <c r="A16" s="22" t="s">
        <v>19</v>
      </c>
      <c r="B16" s="44">
        <f t="shared" ref="B16:K16" si="4">+B17+B18</f>
        <v>0</v>
      </c>
      <c r="C16" s="44">
        <f t="shared" si="4"/>
        <v>501547</v>
      </c>
      <c r="D16" s="44">
        <f t="shared" si="4"/>
        <v>0</v>
      </c>
      <c r="E16" s="44">
        <f t="shared" si="4"/>
        <v>19943606</v>
      </c>
      <c r="F16" s="44">
        <f t="shared" si="4"/>
        <v>20445153</v>
      </c>
      <c r="G16" s="27">
        <f t="shared" si="4"/>
        <v>0</v>
      </c>
      <c r="H16" s="27">
        <f t="shared" si="4"/>
        <v>197144</v>
      </c>
      <c r="I16" s="27"/>
      <c r="J16" s="27">
        <f t="shared" si="4"/>
        <v>11149474</v>
      </c>
      <c r="K16" s="27">
        <f t="shared" si="4"/>
        <v>11346618</v>
      </c>
      <c r="L16" s="44">
        <f>+L17+L18</f>
        <v>0</v>
      </c>
      <c r="M16" s="44">
        <f>+M17+M18</f>
        <v>304403</v>
      </c>
      <c r="N16" s="44"/>
      <c r="O16" s="44">
        <f>+O17+O18</f>
        <v>8794132</v>
      </c>
      <c r="P16" s="45">
        <f>+P17+P18</f>
        <v>9098535</v>
      </c>
      <c r="Q16" s="18"/>
    </row>
    <row r="17" spans="1:17" ht="12.75" customHeight="1">
      <c r="A17" s="23" t="s">
        <v>20</v>
      </c>
      <c r="B17" s="25"/>
      <c r="C17" s="25">
        <v>501547</v>
      </c>
      <c r="D17" s="25"/>
      <c r="E17" s="43">
        <v>16532399</v>
      </c>
      <c r="F17" s="24">
        <f>SUM(B17:E17)</f>
        <v>17033946</v>
      </c>
      <c r="G17" s="29"/>
      <c r="H17" s="29">
        <v>197144</v>
      </c>
      <c r="I17" s="29"/>
      <c r="J17" s="29">
        <f>7142410+805112</f>
        <v>7947522</v>
      </c>
      <c r="K17" s="24">
        <f>SUM(G17:J17)</f>
        <v>8144666</v>
      </c>
      <c r="L17" s="25">
        <f>+B17-G17</f>
        <v>0</v>
      </c>
      <c r="M17" s="25">
        <f>+C17-H17</f>
        <v>304403</v>
      </c>
      <c r="N17" s="25"/>
      <c r="O17" s="25">
        <f>+E17-J17</f>
        <v>8584877</v>
      </c>
      <c r="P17" s="26">
        <f>SUM(L17:O17)</f>
        <v>8889280</v>
      </c>
      <c r="Q17" s="18"/>
    </row>
    <row r="18" spans="1:17" ht="12.75" customHeight="1">
      <c r="A18" s="23" t="s">
        <v>21</v>
      </c>
      <c r="B18" s="25"/>
      <c r="C18" s="25"/>
      <c r="D18" s="25"/>
      <c r="E18" s="43">
        <v>3411207</v>
      </c>
      <c r="F18" s="24">
        <f>SUM(B18:E18)</f>
        <v>3411207</v>
      </c>
      <c r="G18" s="29"/>
      <c r="H18" s="29"/>
      <c r="I18" s="29"/>
      <c r="J18" s="29">
        <v>3201952</v>
      </c>
      <c r="K18" s="24">
        <f>SUM(G18:J18)</f>
        <v>3201952</v>
      </c>
      <c r="L18" s="25">
        <f>+B18-G18</f>
        <v>0</v>
      </c>
      <c r="M18" s="25">
        <f>+C18-H18</f>
        <v>0</v>
      </c>
      <c r="N18" s="25"/>
      <c r="O18" s="25">
        <f>+E18-J18</f>
        <v>209255</v>
      </c>
      <c r="P18" s="26">
        <f>SUM(L18:O18)</f>
        <v>209255</v>
      </c>
      <c r="Q18" s="18"/>
    </row>
    <row r="19" spans="1:17" ht="12.75" customHeight="1">
      <c r="A19" s="83"/>
      <c r="B19" s="77"/>
      <c r="C19" s="77"/>
      <c r="D19" s="77"/>
      <c r="E19" s="67"/>
      <c r="F19" s="77"/>
      <c r="G19" s="82"/>
      <c r="H19" s="82"/>
      <c r="I19" s="82"/>
      <c r="J19" s="82"/>
      <c r="K19" s="82"/>
      <c r="L19" s="77"/>
      <c r="M19" s="77"/>
      <c r="N19" s="77"/>
      <c r="O19" s="77"/>
      <c r="P19" s="75"/>
      <c r="Q19" s="76"/>
    </row>
    <row r="20" spans="1:17">
      <c r="A20" s="80"/>
    </row>
    <row r="21" spans="1:17">
      <c r="A21" s="80"/>
    </row>
    <row r="22" spans="1:17">
      <c r="A22" s="80"/>
    </row>
    <row r="23" spans="1:17">
      <c r="A23" s="80"/>
    </row>
    <row r="24" spans="1:17">
      <c r="A24" s="80"/>
    </row>
    <row r="25" spans="1:17">
      <c r="A25" s="80"/>
    </row>
    <row r="26" spans="1:17">
      <c r="A26" s="80"/>
    </row>
    <row r="27" spans="1:17">
      <c r="A27" s="80"/>
    </row>
    <row r="28" spans="1:17">
      <c r="A28" s="80"/>
    </row>
    <row r="29" spans="1:17">
      <c r="A29" s="80"/>
    </row>
    <row r="30" spans="1:17">
      <c r="A30" s="80"/>
    </row>
    <row r="31" spans="1:17">
      <c r="A31" s="80"/>
    </row>
    <row r="32" spans="1:17">
      <c r="A32" s="80"/>
    </row>
    <row r="33" spans="1:1">
      <c r="A33" s="80"/>
    </row>
    <row r="34" spans="1:1">
      <c r="A34" s="80"/>
    </row>
    <row r="35" spans="1:1">
      <c r="A35" s="80"/>
    </row>
    <row r="36" spans="1:1">
      <c r="A36" s="80"/>
    </row>
    <row r="37" spans="1:1">
      <c r="A37" s="80"/>
    </row>
    <row r="38" spans="1:1">
      <c r="A38" s="80"/>
    </row>
    <row r="39" spans="1:1">
      <c r="A39" s="80"/>
    </row>
    <row r="40" spans="1:1">
      <c r="A40" s="80"/>
    </row>
    <row r="41" spans="1:1">
      <c r="A41" s="80"/>
    </row>
    <row r="42" spans="1:1">
      <c r="A42" s="80"/>
    </row>
    <row r="43" spans="1:1">
      <c r="A43" s="80"/>
    </row>
    <row r="44" spans="1:1">
      <c r="A44" s="80"/>
    </row>
    <row r="45" spans="1:1">
      <c r="A45" s="80"/>
    </row>
    <row r="46" spans="1:1">
      <c r="A46" s="80"/>
    </row>
    <row r="47" spans="1:1">
      <c r="A47" s="80"/>
    </row>
    <row r="48" spans="1:1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  <row r="61" spans="1:1">
      <c r="A61" s="80"/>
    </row>
    <row r="62" spans="1:1">
      <c r="A62" s="80"/>
    </row>
    <row r="63" spans="1:1">
      <c r="A63" s="80"/>
    </row>
    <row r="64" spans="1:1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  <row r="1128" spans="1:1">
      <c r="A1128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2" fitToWidth="0" fitToHeight="0" orientation="landscape" r:id="rId1"/>
  <headerFooter alignWithMargins="0">
    <oddFooter>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296"/>
  <sheetViews>
    <sheetView showRuler="0" zoomScaleSheetLayoutView="100" workbookViewId="0">
      <pane xSplit="1" ySplit="8" topLeftCell="B150" activePane="bottomRight" state="frozen"/>
      <selection activeCell="A155" sqref="A155:Q155"/>
      <selection pane="topRight" activeCell="A155" sqref="A155:Q155"/>
      <selection pane="bottomLeft" activeCell="A155" sqref="A155:Q155"/>
      <selection pane="bottomRight" activeCell="A155" sqref="A155:Q155"/>
    </sheetView>
  </sheetViews>
  <sheetFormatPr defaultRowHeight="12.75"/>
  <cols>
    <col min="1" max="1" width="36.710937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112</v>
      </c>
      <c r="B10" s="17">
        <f t="shared" ref="B10:P10" si="0">+B11+B16+B15</f>
        <v>3212941</v>
      </c>
      <c r="C10" s="17">
        <f t="shared" si="0"/>
        <v>8920442</v>
      </c>
      <c r="D10" s="17"/>
      <c r="E10" s="17">
        <f t="shared" si="0"/>
        <v>2517916</v>
      </c>
      <c r="F10" s="17">
        <f t="shared" si="0"/>
        <v>14651299</v>
      </c>
      <c r="G10" s="17">
        <f t="shared" si="0"/>
        <v>3193579</v>
      </c>
      <c r="H10" s="17">
        <f t="shared" si="0"/>
        <v>8083261</v>
      </c>
      <c r="I10" s="17"/>
      <c r="J10" s="17">
        <f t="shared" si="0"/>
        <v>1345655</v>
      </c>
      <c r="K10" s="17">
        <f t="shared" si="0"/>
        <v>12622495</v>
      </c>
      <c r="L10" s="17">
        <f t="shared" si="0"/>
        <v>19362</v>
      </c>
      <c r="M10" s="17">
        <f t="shared" si="0"/>
        <v>837181</v>
      </c>
      <c r="N10" s="17"/>
      <c r="O10" s="17">
        <f t="shared" si="0"/>
        <v>1172261</v>
      </c>
      <c r="P10" s="17">
        <f t="shared" si="0"/>
        <v>2028804</v>
      </c>
      <c r="Q10" s="18">
        <f>+K10/F10</f>
        <v>0.86152736354639958</v>
      </c>
    </row>
    <row r="11" spans="1:18" ht="12.75" customHeight="1">
      <c r="A11" s="41" t="s">
        <v>15</v>
      </c>
      <c r="B11" s="20">
        <f t="shared" ref="B11:P11" si="1">+B12+B13+B14</f>
        <v>3212941</v>
      </c>
      <c r="C11" s="20">
        <f t="shared" si="1"/>
        <v>8639548</v>
      </c>
      <c r="D11" s="20"/>
      <c r="E11" s="20">
        <f t="shared" si="1"/>
        <v>1982768</v>
      </c>
      <c r="F11" s="20">
        <f t="shared" si="1"/>
        <v>13835257</v>
      </c>
      <c r="G11" s="20">
        <f t="shared" si="1"/>
        <v>3193579</v>
      </c>
      <c r="H11" s="20">
        <f t="shared" si="1"/>
        <v>7915590</v>
      </c>
      <c r="I11" s="20"/>
      <c r="J11" s="20">
        <f t="shared" si="1"/>
        <v>816366</v>
      </c>
      <c r="K11" s="20">
        <f t="shared" si="1"/>
        <v>11925535</v>
      </c>
      <c r="L11" s="20">
        <f t="shared" si="1"/>
        <v>19362</v>
      </c>
      <c r="M11" s="20">
        <f t="shared" si="1"/>
        <v>723958</v>
      </c>
      <c r="N11" s="20"/>
      <c r="O11" s="20">
        <f t="shared" si="1"/>
        <v>1166402</v>
      </c>
      <c r="P11" s="21">
        <f t="shared" si="1"/>
        <v>1909722</v>
      </c>
      <c r="Q11" s="18"/>
    </row>
    <row r="12" spans="1:18">
      <c r="A12" s="22" t="s">
        <v>16</v>
      </c>
      <c r="B12" s="23">
        <f t="shared" ref="B12:E14" si="2">+B22+B32+B41+B50+B59+B68+B77+B86+B95+B104+B113+B122+B131+B140+B149+B158+B168+B177+B186+B195</f>
        <v>2268488</v>
      </c>
      <c r="C12" s="23">
        <f t="shared" si="2"/>
        <v>8416952</v>
      </c>
      <c r="D12" s="23"/>
      <c r="E12" s="23">
        <f t="shared" si="2"/>
        <v>1241719</v>
      </c>
      <c r="F12" s="24">
        <f>SUM(B12:E12)</f>
        <v>11927159</v>
      </c>
      <c r="G12" s="23">
        <f t="shared" ref="G12:J14" si="3">+G22+G32+G41+G50+G59+G68+G77+G86+G95+G104+G113+G122+G131+G140+G149+G158+G168+G177+G186+G195</f>
        <v>2258875</v>
      </c>
      <c r="H12" s="23">
        <f t="shared" si="3"/>
        <v>7859282</v>
      </c>
      <c r="I12" s="23"/>
      <c r="J12" s="23">
        <f t="shared" si="3"/>
        <v>791306</v>
      </c>
      <c r="K12" s="24">
        <f>SUM(G12:J12)</f>
        <v>10909463</v>
      </c>
      <c r="L12" s="25">
        <f t="shared" ref="L12:M14" si="4">+B12-G12</f>
        <v>9613</v>
      </c>
      <c r="M12" s="25">
        <f t="shared" si="4"/>
        <v>557670</v>
      </c>
      <c r="N12" s="25"/>
      <c r="O12" s="25">
        <f>+E12-J12</f>
        <v>450413</v>
      </c>
      <c r="P12" s="26">
        <f>SUM(L12:O12)</f>
        <v>1017696</v>
      </c>
      <c r="Q12" s="18"/>
    </row>
    <row r="13" spans="1:18">
      <c r="A13" s="22" t="s">
        <v>17</v>
      </c>
      <c r="B13" s="23">
        <f t="shared" si="2"/>
        <v>750485</v>
      </c>
      <c r="C13" s="23">
        <f t="shared" si="2"/>
        <v>215789</v>
      </c>
      <c r="D13" s="23"/>
      <c r="E13" s="23">
        <f t="shared" si="2"/>
        <v>740973</v>
      </c>
      <c r="F13" s="24">
        <f>SUM(B13:E13)</f>
        <v>1707247</v>
      </c>
      <c r="G13" s="23">
        <f t="shared" si="3"/>
        <v>745911</v>
      </c>
      <c r="H13" s="23">
        <f t="shared" si="3"/>
        <v>55435</v>
      </c>
      <c r="I13" s="23"/>
      <c r="J13" s="23">
        <f t="shared" si="3"/>
        <v>25060</v>
      </c>
      <c r="K13" s="24">
        <f>SUM(G13:J13)</f>
        <v>826406</v>
      </c>
      <c r="L13" s="25">
        <f t="shared" si="4"/>
        <v>4574</v>
      </c>
      <c r="M13" s="25">
        <f t="shared" si="4"/>
        <v>160354</v>
      </c>
      <c r="N13" s="25"/>
      <c r="O13" s="25">
        <f>+E13-J13</f>
        <v>715913</v>
      </c>
      <c r="P13" s="26">
        <f>SUM(L13:O13)</f>
        <v>880841</v>
      </c>
      <c r="Q13" s="18"/>
    </row>
    <row r="14" spans="1:18">
      <c r="A14" s="22" t="s">
        <v>18</v>
      </c>
      <c r="B14" s="23">
        <f t="shared" si="2"/>
        <v>193968</v>
      </c>
      <c r="C14" s="23">
        <f t="shared" si="2"/>
        <v>6807</v>
      </c>
      <c r="D14" s="23"/>
      <c r="E14" s="23">
        <f t="shared" si="2"/>
        <v>76</v>
      </c>
      <c r="F14" s="24">
        <f>SUM(B14:E14)</f>
        <v>200851</v>
      </c>
      <c r="G14" s="23">
        <f t="shared" si="3"/>
        <v>188793</v>
      </c>
      <c r="H14" s="23">
        <f t="shared" si="3"/>
        <v>873</v>
      </c>
      <c r="I14" s="23"/>
      <c r="J14" s="23">
        <f t="shared" si="3"/>
        <v>0</v>
      </c>
      <c r="K14" s="24">
        <f>SUM(G14:J14)</f>
        <v>189666</v>
      </c>
      <c r="L14" s="25">
        <f t="shared" si="4"/>
        <v>5175</v>
      </c>
      <c r="M14" s="25">
        <f t="shared" si="4"/>
        <v>5934</v>
      </c>
      <c r="N14" s="25"/>
      <c r="O14" s="25">
        <f>+E14-J14</f>
        <v>76</v>
      </c>
      <c r="P14" s="26">
        <f>SUM(L14:O14)</f>
        <v>11185</v>
      </c>
      <c r="Q14" s="18"/>
    </row>
    <row r="15" spans="1:18">
      <c r="A15" s="22" t="s">
        <v>30</v>
      </c>
      <c r="B15" s="23">
        <f t="shared" ref="B15:P15" si="5">+B25+B161</f>
        <v>0</v>
      </c>
      <c r="C15" s="23">
        <f t="shared" si="5"/>
        <v>12170</v>
      </c>
      <c r="D15" s="23"/>
      <c r="E15" s="23">
        <f t="shared" si="5"/>
        <v>31000</v>
      </c>
      <c r="F15" s="23">
        <f t="shared" si="5"/>
        <v>43170</v>
      </c>
      <c r="G15" s="23">
        <f t="shared" si="5"/>
        <v>0</v>
      </c>
      <c r="H15" s="23">
        <f t="shared" si="5"/>
        <v>330</v>
      </c>
      <c r="I15" s="23"/>
      <c r="J15" s="23">
        <f t="shared" si="5"/>
        <v>31000</v>
      </c>
      <c r="K15" s="23">
        <f t="shared" si="5"/>
        <v>31330</v>
      </c>
      <c r="L15" s="23">
        <f t="shared" si="5"/>
        <v>0</v>
      </c>
      <c r="M15" s="23">
        <f t="shared" si="5"/>
        <v>11840</v>
      </c>
      <c r="N15" s="23"/>
      <c r="O15" s="23">
        <f t="shared" si="5"/>
        <v>0</v>
      </c>
      <c r="P15" s="23">
        <f t="shared" si="5"/>
        <v>11840</v>
      </c>
      <c r="Q15" s="18"/>
    </row>
    <row r="16" spans="1:18">
      <c r="A16" s="22" t="s">
        <v>19</v>
      </c>
      <c r="B16" s="44">
        <f t="shared" ref="B16:P16" si="6">+B17+B18</f>
        <v>0</v>
      </c>
      <c r="C16" s="44">
        <f t="shared" si="6"/>
        <v>268724</v>
      </c>
      <c r="D16" s="44"/>
      <c r="E16" s="45">
        <f t="shared" si="6"/>
        <v>504148</v>
      </c>
      <c r="F16" s="44">
        <f t="shared" si="6"/>
        <v>772872</v>
      </c>
      <c r="G16" s="44">
        <f t="shared" si="6"/>
        <v>0</v>
      </c>
      <c r="H16" s="44">
        <f t="shared" si="6"/>
        <v>167341</v>
      </c>
      <c r="I16" s="44"/>
      <c r="J16" s="45">
        <f t="shared" si="6"/>
        <v>498289</v>
      </c>
      <c r="K16" s="44">
        <f t="shared" si="6"/>
        <v>665630</v>
      </c>
      <c r="L16" s="44">
        <f t="shared" si="6"/>
        <v>0</v>
      </c>
      <c r="M16" s="44">
        <f t="shared" si="6"/>
        <v>101383</v>
      </c>
      <c r="N16" s="44"/>
      <c r="O16" s="44">
        <f t="shared" si="6"/>
        <v>5859</v>
      </c>
      <c r="P16" s="45">
        <f t="shared" si="6"/>
        <v>107242</v>
      </c>
      <c r="Q16" s="18"/>
    </row>
    <row r="17" spans="1:17" ht="12.75" customHeight="1">
      <c r="A17" s="23" t="s">
        <v>20</v>
      </c>
      <c r="B17" s="23">
        <f t="shared" ref="B17:E18" si="7">+B27+B36+B45+B54+B63+B72+B81+B90+B99+B108+B117+B126+B135+B144+B153+B163+B172+B181+B190+B199</f>
        <v>0</v>
      </c>
      <c r="C17" s="23">
        <f t="shared" si="7"/>
        <v>268724</v>
      </c>
      <c r="D17" s="23"/>
      <c r="E17" s="23">
        <f t="shared" si="7"/>
        <v>504148</v>
      </c>
      <c r="F17" s="24">
        <f>SUM(B17:E17)</f>
        <v>772872</v>
      </c>
      <c r="G17" s="23">
        <f t="shared" ref="G17:J18" si="8">+G27+G36+G45+G54+G63+G72+G81+G90+G99+G108+G117+G126+G135+G144+G153+G163+G172+G181+G190+G199</f>
        <v>0</v>
      </c>
      <c r="H17" s="23">
        <f t="shared" si="8"/>
        <v>167341</v>
      </c>
      <c r="I17" s="23"/>
      <c r="J17" s="23">
        <f t="shared" si="8"/>
        <v>498289</v>
      </c>
      <c r="K17" s="24">
        <f>SUM(G17:J17)</f>
        <v>665630</v>
      </c>
      <c r="L17" s="25">
        <f>+B17-G17</f>
        <v>0</v>
      </c>
      <c r="M17" s="25">
        <f>+C17-H17</f>
        <v>101383</v>
      </c>
      <c r="N17" s="25"/>
      <c r="O17" s="25">
        <f>+E17-J17</f>
        <v>5859</v>
      </c>
      <c r="P17" s="26">
        <f>SUM(L17:O17)</f>
        <v>107242</v>
      </c>
      <c r="Q17" s="18"/>
    </row>
    <row r="18" spans="1:17">
      <c r="A18" s="23" t="s">
        <v>21</v>
      </c>
      <c r="B18" s="23">
        <f t="shared" si="7"/>
        <v>0</v>
      </c>
      <c r="C18" s="23">
        <f t="shared" si="7"/>
        <v>0</v>
      </c>
      <c r="D18" s="23"/>
      <c r="E18" s="23">
        <f t="shared" si="7"/>
        <v>0</v>
      </c>
      <c r="F18" s="24">
        <f>SUM(B18:E18)</f>
        <v>0</v>
      </c>
      <c r="G18" s="23">
        <f t="shared" si="8"/>
        <v>0</v>
      </c>
      <c r="H18" s="23">
        <f t="shared" si="8"/>
        <v>0</v>
      </c>
      <c r="I18" s="23"/>
      <c r="J18" s="23">
        <f t="shared" si="8"/>
        <v>0</v>
      </c>
      <c r="K18" s="24">
        <f>SUM(G18:J18)</f>
        <v>0</v>
      </c>
      <c r="L18" s="25">
        <f>+B18-G18</f>
        <v>0</v>
      </c>
      <c r="M18" s="25">
        <f>+C18-H18</f>
        <v>0</v>
      </c>
      <c r="N18" s="25"/>
      <c r="O18" s="25">
        <f>+E18-J18</f>
        <v>0</v>
      </c>
      <c r="P18" s="26">
        <f>SUM(L18:O18)</f>
        <v>0</v>
      </c>
      <c r="Q18" s="18"/>
    </row>
    <row r="19" spans="1:17">
      <c r="A19" s="22"/>
      <c r="B19" s="25"/>
      <c r="C19" s="25"/>
      <c r="D19" s="25"/>
      <c r="E19" s="43"/>
      <c r="F19" s="24"/>
      <c r="G19" s="25"/>
      <c r="H19" s="25"/>
      <c r="I19" s="25"/>
      <c r="J19" s="25"/>
      <c r="K19" s="24"/>
      <c r="L19" s="25"/>
      <c r="M19" s="25"/>
      <c r="N19" s="25"/>
      <c r="O19" s="25"/>
      <c r="P19" s="26"/>
      <c r="Q19" s="18"/>
    </row>
    <row r="20" spans="1:17">
      <c r="A20" s="33" t="s">
        <v>31</v>
      </c>
      <c r="B20" s="17">
        <f t="shared" ref="B20:K20" si="9">+B21+B26+B25</f>
        <v>450800</v>
      </c>
      <c r="C20" s="17">
        <f t="shared" si="9"/>
        <v>3071854</v>
      </c>
      <c r="D20" s="17">
        <f t="shared" si="9"/>
        <v>0</v>
      </c>
      <c r="E20" s="17">
        <f t="shared" si="9"/>
        <v>62093</v>
      </c>
      <c r="F20" s="17">
        <f t="shared" si="9"/>
        <v>3584747</v>
      </c>
      <c r="G20" s="17">
        <f t="shared" si="9"/>
        <v>448510</v>
      </c>
      <c r="H20" s="17">
        <f t="shared" si="9"/>
        <v>2961568</v>
      </c>
      <c r="I20" s="17">
        <f t="shared" si="9"/>
        <v>0</v>
      </c>
      <c r="J20" s="17">
        <f t="shared" si="9"/>
        <v>55735</v>
      </c>
      <c r="K20" s="17">
        <f t="shared" si="9"/>
        <v>3465813</v>
      </c>
      <c r="L20" s="17">
        <f t="shared" ref="L20:P20" si="10">+L21+L26+L25</f>
        <v>2290</v>
      </c>
      <c r="M20" s="17">
        <f t="shared" si="10"/>
        <v>110286</v>
      </c>
      <c r="N20" s="17"/>
      <c r="O20" s="17">
        <f t="shared" si="10"/>
        <v>6358</v>
      </c>
      <c r="P20" s="17">
        <f t="shared" si="10"/>
        <v>118934</v>
      </c>
      <c r="Q20" s="18">
        <f>+K20/F20</f>
        <v>0.96682220530486529</v>
      </c>
    </row>
    <row r="21" spans="1:17">
      <c r="A21" s="41" t="s">
        <v>15</v>
      </c>
      <c r="B21" s="20">
        <f t="shared" ref="B21:K21" si="11">+B22+B23+B24</f>
        <v>450800</v>
      </c>
      <c r="C21" s="20">
        <f t="shared" si="11"/>
        <v>3041356</v>
      </c>
      <c r="D21" s="20">
        <f t="shared" si="11"/>
        <v>0</v>
      </c>
      <c r="E21" s="20">
        <f t="shared" si="11"/>
        <v>28600</v>
      </c>
      <c r="F21" s="20">
        <f t="shared" si="11"/>
        <v>3520756</v>
      </c>
      <c r="G21" s="20">
        <f t="shared" si="11"/>
        <v>448510</v>
      </c>
      <c r="H21" s="20">
        <f t="shared" si="11"/>
        <v>2931691</v>
      </c>
      <c r="I21" s="20">
        <f t="shared" si="11"/>
        <v>0</v>
      </c>
      <c r="J21" s="20">
        <f t="shared" si="11"/>
        <v>22242</v>
      </c>
      <c r="K21" s="20">
        <f t="shared" si="11"/>
        <v>3402443</v>
      </c>
      <c r="L21" s="20">
        <f>+L22+L23+L24</f>
        <v>2290</v>
      </c>
      <c r="M21" s="20">
        <f>+M22+M23+M24</f>
        <v>109665</v>
      </c>
      <c r="N21" s="20"/>
      <c r="O21" s="20">
        <f>+O22+O23+O24</f>
        <v>6358</v>
      </c>
      <c r="P21" s="21">
        <f>+P22+P23+P24</f>
        <v>118313</v>
      </c>
      <c r="Q21" s="18"/>
    </row>
    <row r="22" spans="1:17">
      <c r="A22" s="22" t="s">
        <v>16</v>
      </c>
      <c r="B22" s="29">
        <v>311795</v>
      </c>
      <c r="C22" s="29">
        <v>3041356</v>
      </c>
      <c r="D22" s="29"/>
      <c r="E22" s="30">
        <v>28600</v>
      </c>
      <c r="F22" s="24">
        <f>SUM(B22:E22)</f>
        <v>3381751</v>
      </c>
      <c r="G22" s="29">
        <v>310620</v>
      </c>
      <c r="H22" s="29">
        <v>2931691</v>
      </c>
      <c r="I22" s="29"/>
      <c r="J22" s="29">
        <v>22242</v>
      </c>
      <c r="K22" s="24">
        <f>SUM(G22:J22)</f>
        <v>3264553</v>
      </c>
      <c r="L22" s="25">
        <f t="shared" ref="L22:M25" si="12">+B22-G22</f>
        <v>1175</v>
      </c>
      <c r="M22" s="25">
        <f t="shared" si="12"/>
        <v>109665</v>
      </c>
      <c r="N22" s="25"/>
      <c r="O22" s="25">
        <f>+E22-J22</f>
        <v>6358</v>
      </c>
      <c r="P22" s="26">
        <f>SUM(L22:O22)</f>
        <v>117198</v>
      </c>
      <c r="Q22" s="18"/>
    </row>
    <row r="23" spans="1:17">
      <c r="A23" s="22" t="s">
        <v>17</v>
      </c>
      <c r="B23" s="29">
        <v>112587</v>
      </c>
      <c r="C23" s="34"/>
      <c r="D23" s="34"/>
      <c r="E23" s="30"/>
      <c r="F23" s="24">
        <f>SUM(B23:E23)</f>
        <v>112587</v>
      </c>
      <c r="G23" s="29">
        <v>112018</v>
      </c>
      <c r="H23" s="29">
        <v>0</v>
      </c>
      <c r="I23" s="29"/>
      <c r="J23" s="29">
        <v>0</v>
      </c>
      <c r="K23" s="24">
        <f>SUM(G23:J23)</f>
        <v>112018</v>
      </c>
      <c r="L23" s="25">
        <f t="shared" si="12"/>
        <v>569</v>
      </c>
      <c r="M23" s="25">
        <f t="shared" si="12"/>
        <v>0</v>
      </c>
      <c r="N23" s="25"/>
      <c r="O23" s="25">
        <f>+E23-J23</f>
        <v>0</v>
      </c>
      <c r="P23" s="26">
        <f>SUM(L23:O23)</f>
        <v>569</v>
      </c>
      <c r="Q23" s="18"/>
    </row>
    <row r="24" spans="1:17">
      <c r="A24" s="22" t="s">
        <v>18</v>
      </c>
      <c r="B24" s="29">
        <v>26418</v>
      </c>
      <c r="C24" s="29"/>
      <c r="D24" s="29"/>
      <c r="E24" s="35"/>
      <c r="F24" s="24">
        <f>SUM(B24:E24)</f>
        <v>26418</v>
      </c>
      <c r="G24" s="29">
        <v>25872</v>
      </c>
      <c r="H24" s="29">
        <v>0</v>
      </c>
      <c r="I24" s="29"/>
      <c r="J24" s="29">
        <v>0</v>
      </c>
      <c r="K24" s="24">
        <f>SUM(G24:J24)</f>
        <v>25872</v>
      </c>
      <c r="L24" s="25">
        <f t="shared" si="12"/>
        <v>546</v>
      </c>
      <c r="M24" s="25">
        <f t="shared" si="12"/>
        <v>0</v>
      </c>
      <c r="N24" s="25"/>
      <c r="O24" s="25">
        <f>+E24-J24</f>
        <v>0</v>
      </c>
      <c r="P24" s="26">
        <f>SUM(L24:O24)</f>
        <v>546</v>
      </c>
      <c r="Q24" s="18"/>
    </row>
    <row r="25" spans="1:17">
      <c r="A25" s="22" t="s">
        <v>30</v>
      </c>
      <c r="B25" s="29"/>
      <c r="C25" s="29">
        <v>330</v>
      </c>
      <c r="D25" s="29"/>
      <c r="E25" s="30">
        <v>31000</v>
      </c>
      <c r="F25" s="24">
        <f>SUM(B25:E25)</f>
        <v>31330</v>
      </c>
      <c r="G25" s="29">
        <v>0</v>
      </c>
      <c r="H25" s="29">
        <v>330</v>
      </c>
      <c r="I25" s="29"/>
      <c r="J25" s="29">
        <v>31000</v>
      </c>
      <c r="K25" s="24">
        <f>SUM(G25:J25)</f>
        <v>31330</v>
      </c>
      <c r="L25" s="25">
        <f t="shared" si="12"/>
        <v>0</v>
      </c>
      <c r="M25" s="25">
        <f t="shared" si="12"/>
        <v>0</v>
      </c>
      <c r="N25" s="25"/>
      <c r="O25" s="25">
        <f>+E25-J25</f>
        <v>0</v>
      </c>
      <c r="P25" s="26">
        <f>SUM(L25:O25)</f>
        <v>0</v>
      </c>
      <c r="Q25" s="18"/>
    </row>
    <row r="26" spans="1:17">
      <c r="A26" s="22" t="s">
        <v>19</v>
      </c>
      <c r="B26" s="27">
        <f t="shared" ref="B26:K26" si="13">+B27+B28</f>
        <v>0</v>
      </c>
      <c r="C26" s="27">
        <f t="shared" si="13"/>
        <v>30168</v>
      </c>
      <c r="D26" s="27">
        <f t="shared" si="13"/>
        <v>0</v>
      </c>
      <c r="E26" s="27">
        <f t="shared" si="13"/>
        <v>2493</v>
      </c>
      <c r="F26" s="27">
        <f t="shared" si="13"/>
        <v>32661</v>
      </c>
      <c r="G26" s="27">
        <f t="shared" si="13"/>
        <v>0</v>
      </c>
      <c r="H26" s="27">
        <f t="shared" si="13"/>
        <v>29547</v>
      </c>
      <c r="I26" s="27">
        <f t="shared" si="13"/>
        <v>0</v>
      </c>
      <c r="J26" s="27">
        <f t="shared" si="13"/>
        <v>2493</v>
      </c>
      <c r="K26" s="27">
        <f t="shared" si="13"/>
        <v>32040</v>
      </c>
      <c r="L26" s="27">
        <f>+L27+L28</f>
        <v>0</v>
      </c>
      <c r="M26" s="27">
        <f>+M27+M28</f>
        <v>621</v>
      </c>
      <c r="N26" s="27"/>
      <c r="O26" s="27">
        <f>+O27+O28</f>
        <v>0</v>
      </c>
      <c r="P26" s="28">
        <f>+P27+P28</f>
        <v>621</v>
      </c>
      <c r="Q26" s="18"/>
    </row>
    <row r="27" spans="1:17" ht="12.75" customHeight="1">
      <c r="A27" s="23" t="s">
        <v>20</v>
      </c>
      <c r="B27" s="29">
        <v>0</v>
      </c>
      <c r="C27" s="29">
        <v>30168</v>
      </c>
      <c r="D27" s="29"/>
      <c r="E27" s="30">
        <f>11+2482</f>
        <v>2493</v>
      </c>
      <c r="F27" s="24">
        <f>SUM(B27:E27)</f>
        <v>32661</v>
      </c>
      <c r="G27" s="29">
        <v>0</v>
      </c>
      <c r="H27" s="29">
        <v>29547</v>
      </c>
      <c r="I27" s="29"/>
      <c r="J27" s="29">
        <v>2493</v>
      </c>
      <c r="K27" s="24">
        <f>SUM(G27:J27)</f>
        <v>32040</v>
      </c>
      <c r="L27" s="25">
        <f>+B27-G27</f>
        <v>0</v>
      </c>
      <c r="M27" s="25">
        <f>+C27-H27</f>
        <v>621</v>
      </c>
      <c r="N27" s="25"/>
      <c r="O27" s="25">
        <f>+E27-J27</f>
        <v>0</v>
      </c>
      <c r="P27" s="26">
        <f>SUM(L27:O27)</f>
        <v>621</v>
      </c>
      <c r="Q27" s="18"/>
    </row>
    <row r="28" spans="1:17">
      <c r="A28" s="23" t="s">
        <v>21</v>
      </c>
      <c r="B28" s="29">
        <v>0</v>
      </c>
      <c r="C28" s="29">
        <v>0</v>
      </c>
      <c r="D28" s="29"/>
      <c r="E28" s="30">
        <v>0</v>
      </c>
      <c r="F28" s="24">
        <f>SUM(B28:E28)</f>
        <v>0</v>
      </c>
      <c r="G28" s="29">
        <v>0</v>
      </c>
      <c r="H28" s="29">
        <v>0</v>
      </c>
      <c r="I28" s="29"/>
      <c r="J28" s="29">
        <v>0</v>
      </c>
      <c r="K28" s="24">
        <f>SUM(G28:J28)</f>
        <v>0</v>
      </c>
      <c r="L28" s="25">
        <f>+B28-G28</f>
        <v>0</v>
      </c>
      <c r="M28" s="25">
        <f>+C28-H28</f>
        <v>0</v>
      </c>
      <c r="N28" s="25"/>
      <c r="O28" s="25">
        <f>+E28-J28</f>
        <v>0</v>
      </c>
      <c r="P28" s="26">
        <f>SUM(L28:O28)</f>
        <v>0</v>
      </c>
      <c r="Q28" s="18"/>
    </row>
    <row r="29" spans="1:17">
      <c r="A29" s="33"/>
      <c r="B29" s="25"/>
      <c r="C29" s="25"/>
      <c r="D29" s="25"/>
      <c r="E29" s="43"/>
      <c r="F29" s="24"/>
      <c r="G29" s="47"/>
      <c r="H29" s="47"/>
      <c r="I29" s="47"/>
      <c r="J29" s="47"/>
      <c r="K29" s="32"/>
      <c r="L29" s="25"/>
      <c r="M29" s="25"/>
      <c r="N29" s="25"/>
      <c r="O29" s="25"/>
      <c r="P29" s="26"/>
      <c r="Q29" s="18"/>
    </row>
    <row r="30" spans="1:17">
      <c r="A30" s="215" t="s">
        <v>113</v>
      </c>
      <c r="B30" s="17">
        <f t="shared" ref="B30:K30" si="14">+B31+B35</f>
        <v>41958</v>
      </c>
      <c r="C30" s="17">
        <f t="shared" si="14"/>
        <v>48616</v>
      </c>
      <c r="D30" s="17">
        <f t="shared" si="14"/>
        <v>0</v>
      </c>
      <c r="E30" s="17">
        <f t="shared" si="14"/>
        <v>601</v>
      </c>
      <c r="F30" s="17">
        <f t="shared" si="14"/>
        <v>91175</v>
      </c>
      <c r="G30" s="17">
        <f t="shared" si="14"/>
        <v>41895</v>
      </c>
      <c r="H30" s="17">
        <f t="shared" si="14"/>
        <v>35475</v>
      </c>
      <c r="I30" s="17">
        <f t="shared" si="14"/>
        <v>0</v>
      </c>
      <c r="J30" s="17">
        <f t="shared" si="14"/>
        <v>599</v>
      </c>
      <c r="K30" s="17">
        <f t="shared" si="14"/>
        <v>77969</v>
      </c>
      <c r="L30" s="17">
        <f>+L31+L35</f>
        <v>63</v>
      </c>
      <c r="M30" s="17">
        <f>+M31+M35</f>
        <v>13141</v>
      </c>
      <c r="N30" s="17"/>
      <c r="O30" s="17">
        <f>+O31+O35</f>
        <v>2</v>
      </c>
      <c r="P30" s="17">
        <f>+P31+P35</f>
        <v>13206</v>
      </c>
      <c r="Q30" s="18">
        <f>+K30/F30</f>
        <v>0.85515766383328762</v>
      </c>
    </row>
    <row r="31" spans="1:17">
      <c r="A31" s="41" t="s">
        <v>15</v>
      </c>
      <c r="B31" s="20">
        <f t="shared" ref="B31:K31" si="15">+B32+B33+B34</f>
        <v>41958</v>
      </c>
      <c r="C31" s="20">
        <f t="shared" si="15"/>
        <v>46586</v>
      </c>
      <c r="D31" s="20">
        <f t="shared" si="15"/>
        <v>0</v>
      </c>
      <c r="E31" s="20">
        <f t="shared" si="15"/>
        <v>0</v>
      </c>
      <c r="F31" s="20">
        <f t="shared" si="15"/>
        <v>88544</v>
      </c>
      <c r="G31" s="20">
        <f t="shared" si="15"/>
        <v>41895</v>
      </c>
      <c r="H31" s="20">
        <f t="shared" si="15"/>
        <v>34368</v>
      </c>
      <c r="I31" s="20">
        <f t="shared" si="15"/>
        <v>0</v>
      </c>
      <c r="J31" s="20">
        <f t="shared" si="15"/>
        <v>0</v>
      </c>
      <c r="K31" s="20">
        <f t="shared" si="15"/>
        <v>76263</v>
      </c>
      <c r="L31" s="20">
        <f>+L32+L33+L34</f>
        <v>63</v>
      </c>
      <c r="M31" s="20">
        <f>+M32+M33+M34</f>
        <v>12218</v>
      </c>
      <c r="N31" s="20"/>
      <c r="O31" s="20">
        <f>+O32+O33+O34</f>
        <v>0</v>
      </c>
      <c r="P31" s="21">
        <f>+P32+P33+P34</f>
        <v>12281</v>
      </c>
      <c r="Q31" s="18"/>
    </row>
    <row r="32" spans="1:17">
      <c r="A32" s="22" t="s">
        <v>16</v>
      </c>
      <c r="B32" s="29">
        <v>33490</v>
      </c>
      <c r="C32" s="29">
        <v>46586</v>
      </c>
      <c r="D32" s="29"/>
      <c r="E32" s="30"/>
      <c r="F32" s="24">
        <f>SUM(B32:E32)</f>
        <v>80076</v>
      </c>
      <c r="G32" s="29">
        <f>33560-70</f>
        <v>33490</v>
      </c>
      <c r="H32" s="29">
        <v>34368</v>
      </c>
      <c r="I32" s="29"/>
      <c r="J32" s="29"/>
      <c r="K32" s="24">
        <f>SUM(G32:J32)</f>
        <v>67858</v>
      </c>
      <c r="L32" s="25">
        <f t="shared" ref="L32:M34" si="16">+B32-G32</f>
        <v>0</v>
      </c>
      <c r="M32" s="25">
        <f t="shared" si="16"/>
        <v>12218</v>
      </c>
      <c r="N32" s="25"/>
      <c r="O32" s="25">
        <f>+E32-J32</f>
        <v>0</v>
      </c>
      <c r="P32" s="26">
        <f>SUM(L32:O32)</f>
        <v>12218</v>
      </c>
      <c r="Q32" s="18"/>
    </row>
    <row r="33" spans="1:17">
      <c r="A33" s="22" t="s">
        <v>17</v>
      </c>
      <c r="B33" s="29">
        <v>5682</v>
      </c>
      <c r="C33" s="29"/>
      <c r="D33" s="29"/>
      <c r="E33" s="30"/>
      <c r="F33" s="24">
        <f>SUM(B33:E33)</f>
        <v>5682</v>
      </c>
      <c r="G33" s="29">
        <f>5567+70</f>
        <v>5637</v>
      </c>
      <c r="H33" s="34"/>
      <c r="I33" s="34"/>
      <c r="J33" s="34"/>
      <c r="K33" s="24">
        <f>SUM(G33:J33)</f>
        <v>5637</v>
      </c>
      <c r="L33" s="25">
        <f t="shared" si="16"/>
        <v>45</v>
      </c>
      <c r="M33" s="25">
        <f t="shared" si="16"/>
        <v>0</v>
      </c>
      <c r="N33" s="25"/>
      <c r="O33" s="25">
        <f>+E33-J33</f>
        <v>0</v>
      </c>
      <c r="P33" s="26">
        <f>SUM(L33:O33)</f>
        <v>45</v>
      </c>
      <c r="Q33" s="18"/>
    </row>
    <row r="34" spans="1:17">
      <c r="A34" s="22" t="s">
        <v>18</v>
      </c>
      <c r="B34" s="29">
        <v>2786</v>
      </c>
      <c r="C34" s="34"/>
      <c r="D34" s="34"/>
      <c r="E34" s="35"/>
      <c r="F34" s="24">
        <f>SUM(B34:E34)</f>
        <v>2786</v>
      </c>
      <c r="G34" s="29">
        <v>2768</v>
      </c>
      <c r="H34" s="34"/>
      <c r="I34" s="34"/>
      <c r="J34" s="34"/>
      <c r="K34" s="24">
        <f>SUM(G34:J34)</f>
        <v>2768</v>
      </c>
      <c r="L34" s="25">
        <f t="shared" si="16"/>
        <v>18</v>
      </c>
      <c r="M34" s="25">
        <f t="shared" si="16"/>
        <v>0</v>
      </c>
      <c r="N34" s="25"/>
      <c r="O34" s="25">
        <f>+E34-J34</f>
        <v>0</v>
      </c>
      <c r="P34" s="26">
        <f>SUM(L34:O34)</f>
        <v>18</v>
      </c>
      <c r="Q34" s="18"/>
    </row>
    <row r="35" spans="1:17">
      <c r="A35" s="22" t="s">
        <v>19</v>
      </c>
      <c r="B35" s="27">
        <f t="shared" ref="B35:K35" si="17">+B36+B37</f>
        <v>0</v>
      </c>
      <c r="C35" s="27">
        <f t="shared" si="17"/>
        <v>2030</v>
      </c>
      <c r="D35" s="27">
        <f t="shared" si="17"/>
        <v>0</v>
      </c>
      <c r="E35" s="27">
        <f t="shared" si="17"/>
        <v>601</v>
      </c>
      <c r="F35" s="27">
        <f t="shared" si="17"/>
        <v>2631</v>
      </c>
      <c r="G35" s="27">
        <f t="shared" si="17"/>
        <v>0</v>
      </c>
      <c r="H35" s="27">
        <f t="shared" si="17"/>
        <v>1107</v>
      </c>
      <c r="I35" s="27">
        <f t="shared" si="17"/>
        <v>0</v>
      </c>
      <c r="J35" s="27">
        <f t="shared" si="17"/>
        <v>599</v>
      </c>
      <c r="K35" s="27">
        <f t="shared" si="17"/>
        <v>1706</v>
      </c>
      <c r="L35" s="27">
        <f>+L36+L37</f>
        <v>0</v>
      </c>
      <c r="M35" s="27">
        <f>+M36+M37</f>
        <v>923</v>
      </c>
      <c r="N35" s="27"/>
      <c r="O35" s="27">
        <f>+O36+O37</f>
        <v>2</v>
      </c>
      <c r="P35" s="28">
        <f>+P36+P37</f>
        <v>925</v>
      </c>
      <c r="Q35" s="18"/>
    </row>
    <row r="36" spans="1:17" ht="12.75" customHeight="1">
      <c r="A36" s="23" t="s">
        <v>20</v>
      </c>
      <c r="B36" s="29"/>
      <c r="C36" s="29">
        <v>2030</v>
      </c>
      <c r="D36" s="29"/>
      <c r="E36" s="30">
        <v>601</v>
      </c>
      <c r="F36" s="24">
        <f>SUM(B36:E36)</f>
        <v>2631</v>
      </c>
      <c r="G36" s="29"/>
      <c r="H36" s="29">
        <v>1107</v>
      </c>
      <c r="I36" s="29"/>
      <c r="J36" s="29">
        <v>599</v>
      </c>
      <c r="K36" s="24">
        <f>SUM(G36:J36)</f>
        <v>1706</v>
      </c>
      <c r="L36" s="25">
        <f>+B36-G36</f>
        <v>0</v>
      </c>
      <c r="M36" s="25">
        <f>+C36-H36</f>
        <v>923</v>
      </c>
      <c r="N36" s="25"/>
      <c r="O36" s="25">
        <f>+E36-J36</f>
        <v>2</v>
      </c>
      <c r="P36" s="26">
        <f>SUM(L36:O36)</f>
        <v>925</v>
      </c>
      <c r="Q36" s="18"/>
    </row>
    <row r="37" spans="1:17" ht="12.75" customHeight="1">
      <c r="A37" s="23" t="s">
        <v>21</v>
      </c>
      <c r="B37" s="29"/>
      <c r="C37" s="29"/>
      <c r="D37" s="29"/>
      <c r="E37" s="30"/>
      <c r="F37" s="24">
        <f>SUM(B37:E37)</f>
        <v>0</v>
      </c>
      <c r="G37" s="29"/>
      <c r="H37" s="29"/>
      <c r="I37" s="29"/>
      <c r="J37" s="29"/>
      <c r="K37" s="24">
        <f>SUM(G37:J37)</f>
        <v>0</v>
      </c>
      <c r="L37" s="25">
        <f>+B37-G37</f>
        <v>0</v>
      </c>
      <c r="M37" s="25">
        <f>+C37-H37</f>
        <v>0</v>
      </c>
      <c r="N37" s="25"/>
      <c r="O37" s="25">
        <f>+E37-J37</f>
        <v>0</v>
      </c>
      <c r="P37" s="26">
        <f>SUM(L37:O37)</f>
        <v>0</v>
      </c>
      <c r="Q37" s="18"/>
    </row>
    <row r="38" spans="1:17" ht="12.75" customHeight="1">
      <c r="A38" s="33"/>
      <c r="B38" s="25"/>
      <c r="C38" s="25"/>
      <c r="D38" s="25"/>
      <c r="E38" s="43"/>
      <c r="F38" s="24"/>
      <c r="G38" s="47"/>
      <c r="H38" s="47"/>
      <c r="I38" s="47"/>
      <c r="J38" s="47"/>
      <c r="K38" s="32"/>
      <c r="L38" s="25"/>
      <c r="M38" s="25"/>
      <c r="N38" s="25"/>
      <c r="O38" s="25"/>
      <c r="P38" s="26"/>
      <c r="Q38" s="18"/>
    </row>
    <row r="39" spans="1:17" ht="12.75" customHeight="1">
      <c r="A39" s="33" t="s">
        <v>114</v>
      </c>
      <c r="B39" s="17">
        <f t="shared" ref="B39:K39" si="18">+B40+B44</f>
        <v>109445</v>
      </c>
      <c r="C39" s="17">
        <f t="shared" si="18"/>
        <v>156275</v>
      </c>
      <c r="D39" s="17">
        <f t="shared" si="18"/>
        <v>0</v>
      </c>
      <c r="E39" s="17">
        <f t="shared" si="18"/>
        <v>41230</v>
      </c>
      <c r="F39" s="17">
        <f t="shared" si="18"/>
        <v>306950</v>
      </c>
      <c r="G39" s="17">
        <f t="shared" si="18"/>
        <v>107818</v>
      </c>
      <c r="H39" s="17">
        <f t="shared" si="18"/>
        <v>113851</v>
      </c>
      <c r="I39" s="17">
        <f t="shared" si="18"/>
        <v>0</v>
      </c>
      <c r="J39" s="17">
        <f t="shared" si="18"/>
        <v>39613</v>
      </c>
      <c r="K39" s="17">
        <f t="shared" si="18"/>
        <v>261282</v>
      </c>
      <c r="L39" s="17">
        <f>+L40+L44</f>
        <v>1627</v>
      </c>
      <c r="M39" s="17">
        <f>+M40+M44</f>
        <v>42424</v>
      </c>
      <c r="N39" s="17"/>
      <c r="O39" s="17">
        <f>+O40+O44</f>
        <v>1617</v>
      </c>
      <c r="P39" s="17">
        <f>+P40+P44</f>
        <v>45668</v>
      </c>
      <c r="Q39" s="18">
        <f>+K39/F39</f>
        <v>0.85122006841505127</v>
      </c>
    </row>
    <row r="40" spans="1:17" ht="12.75" customHeight="1">
      <c r="A40" s="41" t="s">
        <v>15</v>
      </c>
      <c r="B40" s="20">
        <f t="shared" ref="B40:K40" si="19">+B41+B42+B43</f>
        <v>109445</v>
      </c>
      <c r="C40" s="20">
        <f t="shared" si="19"/>
        <v>156226</v>
      </c>
      <c r="D40" s="20">
        <f t="shared" si="19"/>
        <v>0</v>
      </c>
      <c r="E40" s="20">
        <f t="shared" si="19"/>
        <v>40938</v>
      </c>
      <c r="F40" s="20">
        <f t="shared" si="19"/>
        <v>306609</v>
      </c>
      <c r="G40" s="20">
        <f t="shared" si="19"/>
        <v>107818</v>
      </c>
      <c r="H40" s="20">
        <f t="shared" si="19"/>
        <v>113802</v>
      </c>
      <c r="I40" s="20">
        <f t="shared" si="19"/>
        <v>0</v>
      </c>
      <c r="J40" s="20">
        <f t="shared" si="19"/>
        <v>39399</v>
      </c>
      <c r="K40" s="20">
        <f t="shared" si="19"/>
        <v>261019</v>
      </c>
      <c r="L40" s="20">
        <f>+L41+L42+L43</f>
        <v>1627</v>
      </c>
      <c r="M40" s="20">
        <f>+M41+M42+M43</f>
        <v>42424</v>
      </c>
      <c r="N40" s="20"/>
      <c r="O40" s="20">
        <f>+O41+O42+O43</f>
        <v>1539</v>
      </c>
      <c r="P40" s="21">
        <f>+P41+P42+P43</f>
        <v>45590</v>
      </c>
      <c r="Q40" s="18"/>
    </row>
    <row r="41" spans="1:17" ht="12.75" customHeight="1">
      <c r="A41" s="22" t="s">
        <v>16</v>
      </c>
      <c r="B41" s="29">
        <v>76336</v>
      </c>
      <c r="C41" s="29">
        <v>156226</v>
      </c>
      <c r="D41" s="29"/>
      <c r="E41" s="30">
        <v>40938</v>
      </c>
      <c r="F41" s="24">
        <f>SUM(B41:E41)</f>
        <v>273500</v>
      </c>
      <c r="G41" s="29">
        <v>74718</v>
      </c>
      <c r="H41" s="29">
        <v>113802</v>
      </c>
      <c r="I41" s="29"/>
      <c r="J41" s="29">
        <v>39399</v>
      </c>
      <c r="K41" s="24">
        <f>SUM(G41:J41)</f>
        <v>227919</v>
      </c>
      <c r="L41" s="25">
        <f t="shared" ref="L41:M43" si="20">+B41-G41</f>
        <v>1618</v>
      </c>
      <c r="M41" s="25">
        <f t="shared" si="20"/>
        <v>42424</v>
      </c>
      <c r="N41" s="25"/>
      <c r="O41" s="25">
        <f>+E41-J41</f>
        <v>1539</v>
      </c>
      <c r="P41" s="26">
        <f>SUM(L41:O41)</f>
        <v>45581</v>
      </c>
      <c r="Q41" s="18"/>
    </row>
    <row r="42" spans="1:17" ht="12.75" customHeight="1">
      <c r="A42" s="22" t="s">
        <v>17</v>
      </c>
      <c r="B42" s="29">
        <v>26792</v>
      </c>
      <c r="C42" s="34"/>
      <c r="D42" s="34"/>
      <c r="E42" s="30"/>
      <c r="F42" s="24">
        <f>SUM(B42:E42)</f>
        <v>26792</v>
      </c>
      <c r="G42" s="29">
        <v>26792</v>
      </c>
      <c r="H42" s="34"/>
      <c r="I42" s="34"/>
      <c r="J42" s="34"/>
      <c r="K42" s="24">
        <f>SUM(G42:J42)</f>
        <v>26792</v>
      </c>
      <c r="L42" s="25">
        <f t="shared" si="20"/>
        <v>0</v>
      </c>
      <c r="M42" s="25">
        <f t="shared" si="20"/>
        <v>0</v>
      </c>
      <c r="N42" s="25"/>
      <c r="O42" s="25">
        <f>+E42-J42</f>
        <v>0</v>
      </c>
      <c r="P42" s="26">
        <f>SUM(L42:O42)</f>
        <v>0</v>
      </c>
      <c r="Q42" s="18"/>
    </row>
    <row r="43" spans="1:17" ht="12.75" customHeight="1">
      <c r="A43" s="22" t="s">
        <v>18</v>
      </c>
      <c r="B43" s="29">
        <v>6317</v>
      </c>
      <c r="C43" s="34"/>
      <c r="D43" s="34"/>
      <c r="E43" s="35"/>
      <c r="F43" s="24">
        <f>SUM(B43:E43)</f>
        <v>6317</v>
      </c>
      <c r="G43" s="29">
        <v>6308</v>
      </c>
      <c r="H43" s="34"/>
      <c r="I43" s="34"/>
      <c r="J43" s="34"/>
      <c r="K43" s="24">
        <f>SUM(G43:J43)</f>
        <v>6308</v>
      </c>
      <c r="L43" s="25">
        <f t="shared" si="20"/>
        <v>9</v>
      </c>
      <c r="M43" s="25">
        <f t="shared" si="20"/>
        <v>0</v>
      </c>
      <c r="N43" s="25"/>
      <c r="O43" s="25">
        <f>+E43-J43</f>
        <v>0</v>
      </c>
      <c r="P43" s="26">
        <f>SUM(L43:O43)</f>
        <v>9</v>
      </c>
      <c r="Q43" s="18"/>
    </row>
    <row r="44" spans="1:17" ht="12.75" customHeight="1">
      <c r="A44" s="22" t="s">
        <v>19</v>
      </c>
      <c r="B44" s="27">
        <f t="shared" ref="B44:K44" si="21">+B45+B46</f>
        <v>0</v>
      </c>
      <c r="C44" s="27">
        <f t="shared" si="21"/>
        <v>49</v>
      </c>
      <c r="D44" s="27">
        <f t="shared" si="21"/>
        <v>0</v>
      </c>
      <c r="E44" s="27">
        <f t="shared" si="21"/>
        <v>292</v>
      </c>
      <c r="F44" s="27">
        <f t="shared" si="21"/>
        <v>341</v>
      </c>
      <c r="G44" s="27">
        <f t="shared" si="21"/>
        <v>0</v>
      </c>
      <c r="H44" s="27">
        <f t="shared" si="21"/>
        <v>49</v>
      </c>
      <c r="I44" s="27">
        <f t="shared" si="21"/>
        <v>0</v>
      </c>
      <c r="J44" s="27">
        <f t="shared" si="21"/>
        <v>214</v>
      </c>
      <c r="K44" s="27">
        <f t="shared" si="21"/>
        <v>263</v>
      </c>
      <c r="L44" s="27">
        <f>+L45+L46</f>
        <v>0</v>
      </c>
      <c r="M44" s="27">
        <f>+M45+M46</f>
        <v>0</v>
      </c>
      <c r="N44" s="27"/>
      <c r="O44" s="27">
        <f>+O45+O46</f>
        <v>78</v>
      </c>
      <c r="P44" s="28">
        <f>+P45+P46</f>
        <v>78</v>
      </c>
      <c r="Q44" s="18"/>
    </row>
    <row r="45" spans="1:17" ht="12.75" customHeight="1">
      <c r="A45" s="23" t="s">
        <v>20</v>
      </c>
      <c r="B45" s="29"/>
      <c r="C45" s="29">
        <f>39+10</f>
        <v>49</v>
      </c>
      <c r="D45" s="29"/>
      <c r="E45" s="30">
        <v>292</v>
      </c>
      <c r="F45" s="24">
        <f>SUM(B45:E45)</f>
        <v>341</v>
      </c>
      <c r="G45" s="29"/>
      <c r="H45" s="29">
        <v>49</v>
      </c>
      <c r="I45" s="29"/>
      <c r="J45" s="29">
        <v>214</v>
      </c>
      <c r="K45" s="24">
        <f>SUM(G45:J45)</f>
        <v>263</v>
      </c>
      <c r="L45" s="25">
        <f>+B45-G45</f>
        <v>0</v>
      </c>
      <c r="M45" s="25">
        <f>+C45-H45</f>
        <v>0</v>
      </c>
      <c r="N45" s="25"/>
      <c r="O45" s="25">
        <f>+E45-J45</f>
        <v>78</v>
      </c>
      <c r="P45" s="26">
        <f>SUM(L45:O45)</f>
        <v>78</v>
      </c>
      <c r="Q45" s="18"/>
    </row>
    <row r="46" spans="1:17" ht="12.75" customHeight="1">
      <c r="A46" s="23" t="s">
        <v>21</v>
      </c>
      <c r="B46" s="29"/>
      <c r="C46" s="29"/>
      <c r="D46" s="29"/>
      <c r="E46" s="30"/>
      <c r="F46" s="24">
        <f>SUM(B46:E46)</f>
        <v>0</v>
      </c>
      <c r="G46" s="29"/>
      <c r="H46" s="29"/>
      <c r="I46" s="29"/>
      <c r="J46" s="29"/>
      <c r="K46" s="24">
        <f>SUM(G46:J46)</f>
        <v>0</v>
      </c>
      <c r="L46" s="25">
        <f>+B46-G46</f>
        <v>0</v>
      </c>
      <c r="M46" s="25">
        <f>+C46-H46</f>
        <v>0</v>
      </c>
      <c r="N46" s="25"/>
      <c r="O46" s="25">
        <f>+E46-J46</f>
        <v>0</v>
      </c>
      <c r="P46" s="26">
        <f>SUM(L46:O46)</f>
        <v>0</v>
      </c>
      <c r="Q46" s="18"/>
    </row>
    <row r="47" spans="1:17" ht="12.75" customHeight="1">
      <c r="A47" s="33"/>
      <c r="B47" s="25"/>
      <c r="C47" s="25"/>
      <c r="D47" s="25"/>
      <c r="E47" s="43"/>
      <c r="F47" s="24"/>
      <c r="G47" s="47"/>
      <c r="H47" s="47"/>
      <c r="I47" s="47"/>
      <c r="J47" s="47"/>
      <c r="K47" s="32"/>
      <c r="L47" s="25"/>
      <c r="M47" s="25"/>
      <c r="N47" s="25"/>
      <c r="O47" s="25"/>
      <c r="P47" s="26"/>
      <c r="Q47" s="18"/>
    </row>
    <row r="48" spans="1:17" ht="25.5">
      <c r="A48" s="219" t="s">
        <v>115</v>
      </c>
      <c r="B48" s="17">
        <f t="shared" ref="B48:K48" si="22">+B49+B53</f>
        <v>126504</v>
      </c>
      <c r="C48" s="17">
        <f t="shared" si="22"/>
        <v>22315</v>
      </c>
      <c r="D48" s="17">
        <f t="shared" si="22"/>
        <v>0</v>
      </c>
      <c r="E48" s="17">
        <f t="shared" si="22"/>
        <v>16113</v>
      </c>
      <c r="F48" s="17">
        <f t="shared" si="22"/>
        <v>164932</v>
      </c>
      <c r="G48" s="17">
        <f t="shared" si="22"/>
        <v>126316</v>
      </c>
      <c r="H48" s="17">
        <f t="shared" si="22"/>
        <v>22309</v>
      </c>
      <c r="I48" s="17">
        <f t="shared" si="22"/>
        <v>0</v>
      </c>
      <c r="J48" s="17">
        <f t="shared" si="22"/>
        <v>14827</v>
      </c>
      <c r="K48" s="17">
        <f t="shared" si="22"/>
        <v>163452</v>
      </c>
      <c r="L48" s="17">
        <f>+L49+L53</f>
        <v>188</v>
      </c>
      <c r="M48" s="17">
        <f>+M49+M53</f>
        <v>6</v>
      </c>
      <c r="N48" s="17"/>
      <c r="O48" s="17">
        <f>+O49+O53</f>
        <v>1286</v>
      </c>
      <c r="P48" s="17">
        <f>+P49+P53</f>
        <v>1480</v>
      </c>
      <c r="Q48" s="18">
        <f>+K48/F48</f>
        <v>0.9910266049038392</v>
      </c>
    </row>
    <row r="49" spans="1:17" ht="12.75" customHeight="1">
      <c r="A49" s="58" t="s">
        <v>15</v>
      </c>
      <c r="B49" s="20">
        <f t="shared" ref="B49:K49" si="23">+B50+B51+B52</f>
        <v>126504</v>
      </c>
      <c r="C49" s="20">
        <f t="shared" si="23"/>
        <v>22315</v>
      </c>
      <c r="D49" s="20">
        <f t="shared" si="23"/>
        <v>0</v>
      </c>
      <c r="E49" s="20">
        <f t="shared" si="23"/>
        <v>16113</v>
      </c>
      <c r="F49" s="20">
        <f t="shared" si="23"/>
        <v>164932</v>
      </c>
      <c r="G49" s="20">
        <f t="shared" si="23"/>
        <v>126316</v>
      </c>
      <c r="H49" s="20">
        <f t="shared" si="23"/>
        <v>22309</v>
      </c>
      <c r="I49" s="20">
        <f t="shared" si="23"/>
        <v>0</v>
      </c>
      <c r="J49" s="20">
        <f t="shared" si="23"/>
        <v>14827</v>
      </c>
      <c r="K49" s="20">
        <f t="shared" si="23"/>
        <v>163452</v>
      </c>
      <c r="L49" s="20">
        <f>+L50+L51+L52</f>
        <v>188</v>
      </c>
      <c r="M49" s="20">
        <f>+M50+M51+M52</f>
        <v>6</v>
      </c>
      <c r="N49" s="20"/>
      <c r="O49" s="20">
        <f>+O50+O51+O52</f>
        <v>1286</v>
      </c>
      <c r="P49" s="21">
        <f>+P50+P51+P52</f>
        <v>1480</v>
      </c>
      <c r="Q49" s="18"/>
    </row>
    <row r="50" spans="1:17" ht="12.75" customHeight="1">
      <c r="A50" s="22" t="s">
        <v>16</v>
      </c>
      <c r="B50" s="29">
        <v>81186</v>
      </c>
      <c r="C50" s="29">
        <v>22315</v>
      </c>
      <c r="D50" s="29"/>
      <c r="E50" s="30">
        <v>16113</v>
      </c>
      <c r="F50" s="24">
        <f>SUM(B50:E50)</f>
        <v>119614</v>
      </c>
      <c r="G50" s="29">
        <f>79195+1967</f>
        <v>81162</v>
      </c>
      <c r="H50" s="29">
        <v>22309</v>
      </c>
      <c r="I50" s="29"/>
      <c r="J50" s="29">
        <v>14827</v>
      </c>
      <c r="K50" s="24">
        <f>SUM(G50:J50)</f>
        <v>118298</v>
      </c>
      <c r="L50" s="25">
        <f t="shared" ref="L50:M52" si="24">+B50-G50</f>
        <v>24</v>
      </c>
      <c r="M50" s="25">
        <f t="shared" si="24"/>
        <v>6</v>
      </c>
      <c r="N50" s="25"/>
      <c r="O50" s="25">
        <f>+E50-J50</f>
        <v>1286</v>
      </c>
      <c r="P50" s="26">
        <f>SUM(L50:O50)</f>
        <v>1316</v>
      </c>
      <c r="Q50" s="18"/>
    </row>
    <row r="51" spans="1:17" ht="12.75" customHeight="1">
      <c r="A51" s="22" t="s">
        <v>17</v>
      </c>
      <c r="B51" s="29">
        <v>38363</v>
      </c>
      <c r="C51" s="34"/>
      <c r="D51" s="34"/>
      <c r="E51" s="30"/>
      <c r="F51" s="24">
        <f>SUM(B51:E51)</f>
        <v>38363</v>
      </c>
      <c r="G51" s="29">
        <f>12047+28283-1967</f>
        <v>38363</v>
      </c>
      <c r="H51" s="34"/>
      <c r="I51" s="34"/>
      <c r="J51" s="34"/>
      <c r="K51" s="24">
        <f>SUM(G51:J51)</f>
        <v>38363</v>
      </c>
      <c r="L51" s="25">
        <f t="shared" si="24"/>
        <v>0</v>
      </c>
      <c r="M51" s="25">
        <f t="shared" si="24"/>
        <v>0</v>
      </c>
      <c r="N51" s="25"/>
      <c r="O51" s="25">
        <f>+E51-J51</f>
        <v>0</v>
      </c>
      <c r="P51" s="26">
        <f>SUM(L51:O51)</f>
        <v>0</v>
      </c>
      <c r="Q51" s="18"/>
    </row>
    <row r="52" spans="1:17" ht="12.75" customHeight="1">
      <c r="A52" s="22" t="s">
        <v>18</v>
      </c>
      <c r="B52" s="29">
        <v>6955</v>
      </c>
      <c r="C52" s="34"/>
      <c r="D52" s="34"/>
      <c r="E52" s="35"/>
      <c r="F52" s="24">
        <f>SUM(B52:E52)</f>
        <v>6955</v>
      </c>
      <c r="G52" s="29">
        <v>6791</v>
      </c>
      <c r="H52" s="34"/>
      <c r="I52" s="34"/>
      <c r="J52" s="34"/>
      <c r="K52" s="24">
        <f>SUM(G52:J52)</f>
        <v>6791</v>
      </c>
      <c r="L52" s="25">
        <f t="shared" si="24"/>
        <v>164</v>
      </c>
      <c r="M52" s="25">
        <f t="shared" si="24"/>
        <v>0</v>
      </c>
      <c r="N52" s="25"/>
      <c r="O52" s="25">
        <f>+E52-J52</f>
        <v>0</v>
      </c>
      <c r="P52" s="26">
        <f>SUM(L52:O52)</f>
        <v>164</v>
      </c>
      <c r="Q52" s="18"/>
    </row>
    <row r="53" spans="1:17" ht="12.75" customHeight="1">
      <c r="A53" s="22" t="s">
        <v>19</v>
      </c>
      <c r="B53" s="27">
        <f t="shared" ref="B53:K53" si="25">+B54+B55</f>
        <v>0</v>
      </c>
      <c r="C53" s="27">
        <f t="shared" si="25"/>
        <v>0</v>
      </c>
      <c r="D53" s="27">
        <f t="shared" si="25"/>
        <v>0</v>
      </c>
      <c r="E53" s="27">
        <f t="shared" si="25"/>
        <v>0</v>
      </c>
      <c r="F53" s="27">
        <f t="shared" si="25"/>
        <v>0</v>
      </c>
      <c r="G53" s="27">
        <f t="shared" si="25"/>
        <v>0</v>
      </c>
      <c r="H53" s="27">
        <f t="shared" si="25"/>
        <v>0</v>
      </c>
      <c r="I53" s="27">
        <f t="shared" si="25"/>
        <v>0</v>
      </c>
      <c r="J53" s="27">
        <f t="shared" si="25"/>
        <v>0</v>
      </c>
      <c r="K53" s="27">
        <f t="shared" si="25"/>
        <v>0</v>
      </c>
      <c r="L53" s="27">
        <f>+L54+L55</f>
        <v>0</v>
      </c>
      <c r="M53" s="27">
        <f>+M54+M55</f>
        <v>0</v>
      </c>
      <c r="N53" s="27"/>
      <c r="O53" s="27">
        <f>+O54+O55</f>
        <v>0</v>
      </c>
      <c r="P53" s="28">
        <f>+P54+P55</f>
        <v>0</v>
      </c>
      <c r="Q53" s="18"/>
    </row>
    <row r="54" spans="1:17" ht="12.75" customHeight="1">
      <c r="A54" s="22" t="s">
        <v>20</v>
      </c>
      <c r="B54" s="29"/>
      <c r="C54" s="29"/>
      <c r="D54" s="29"/>
      <c r="E54" s="30"/>
      <c r="F54" s="24">
        <f>SUM(B54:E54)</f>
        <v>0</v>
      </c>
      <c r="G54" s="29"/>
      <c r="H54" s="29"/>
      <c r="I54" s="29"/>
      <c r="J54" s="29"/>
      <c r="K54" s="24">
        <f>SUM(G54:J54)</f>
        <v>0</v>
      </c>
      <c r="L54" s="25">
        <f>+B54-G54</f>
        <v>0</v>
      </c>
      <c r="M54" s="25">
        <f>+C54-H54</f>
        <v>0</v>
      </c>
      <c r="N54" s="25"/>
      <c r="O54" s="25">
        <f>+E54-J54</f>
        <v>0</v>
      </c>
      <c r="P54" s="26">
        <f>SUM(L54:O54)</f>
        <v>0</v>
      </c>
      <c r="Q54" s="18"/>
    </row>
    <row r="55" spans="1:17" ht="12.75" customHeight="1">
      <c r="A55" s="22" t="s">
        <v>21</v>
      </c>
      <c r="B55" s="29"/>
      <c r="C55" s="29"/>
      <c r="D55" s="29"/>
      <c r="E55" s="30"/>
      <c r="F55" s="24">
        <f>SUM(B55:E55)</f>
        <v>0</v>
      </c>
      <c r="G55" s="29"/>
      <c r="H55" s="29"/>
      <c r="I55" s="29"/>
      <c r="J55" s="29"/>
      <c r="K55" s="24">
        <f>SUM(G55:J55)</f>
        <v>0</v>
      </c>
      <c r="L55" s="25">
        <f>+B55-G55</f>
        <v>0</v>
      </c>
      <c r="M55" s="25">
        <f>+C55-H55</f>
        <v>0</v>
      </c>
      <c r="N55" s="25"/>
      <c r="O55" s="25">
        <f>+E55-J55</f>
        <v>0</v>
      </c>
      <c r="P55" s="26">
        <f>SUM(L55:O55)</f>
        <v>0</v>
      </c>
      <c r="Q55" s="18"/>
    </row>
    <row r="56" spans="1:17" ht="12.75" customHeight="1">
      <c r="A56" s="221"/>
      <c r="B56" s="44"/>
      <c r="C56" s="44"/>
      <c r="D56" s="44"/>
      <c r="E56" s="45"/>
      <c r="F56" s="77"/>
      <c r="G56" s="44"/>
      <c r="H56" s="44"/>
      <c r="I56" s="44"/>
      <c r="J56" s="44"/>
      <c r="K56" s="77"/>
      <c r="L56" s="44"/>
      <c r="M56" s="44"/>
      <c r="N56" s="44"/>
      <c r="O56" s="44"/>
      <c r="P56" s="75"/>
      <c r="Q56" s="76"/>
    </row>
    <row r="57" spans="1:17" ht="12.75" customHeight="1">
      <c r="A57" s="218" t="s">
        <v>116</v>
      </c>
      <c r="B57" s="17">
        <f t="shared" ref="B57:K57" si="26">+B58+B62</f>
        <v>211445</v>
      </c>
      <c r="C57" s="17">
        <f t="shared" si="26"/>
        <v>71398</v>
      </c>
      <c r="D57" s="17">
        <f t="shared" si="26"/>
        <v>0</v>
      </c>
      <c r="E57" s="17">
        <f t="shared" si="26"/>
        <v>18638</v>
      </c>
      <c r="F57" s="17">
        <f t="shared" si="26"/>
        <v>301481</v>
      </c>
      <c r="G57" s="17">
        <f t="shared" si="26"/>
        <v>210881</v>
      </c>
      <c r="H57" s="17">
        <f t="shared" si="26"/>
        <v>57275</v>
      </c>
      <c r="I57" s="17">
        <f t="shared" si="26"/>
        <v>0</v>
      </c>
      <c r="J57" s="17">
        <f t="shared" si="26"/>
        <v>8903</v>
      </c>
      <c r="K57" s="17">
        <f t="shared" si="26"/>
        <v>277059</v>
      </c>
      <c r="L57" s="17">
        <f>+L58+L62</f>
        <v>564</v>
      </c>
      <c r="M57" s="17">
        <f>+M58+M62</f>
        <v>14123</v>
      </c>
      <c r="N57" s="17"/>
      <c r="O57" s="17">
        <f>+O58+O62</f>
        <v>9735</v>
      </c>
      <c r="P57" s="17">
        <f>+P58+P62</f>
        <v>24422</v>
      </c>
      <c r="Q57" s="18">
        <f>+K57/F57</f>
        <v>0.91899323672138544</v>
      </c>
    </row>
    <row r="58" spans="1:17" ht="12.75" customHeight="1">
      <c r="A58" s="58" t="s">
        <v>15</v>
      </c>
      <c r="B58" s="20">
        <f t="shared" ref="B58:K58" si="27">+B59+B60+B61</f>
        <v>211445</v>
      </c>
      <c r="C58" s="20">
        <f t="shared" si="27"/>
        <v>55715</v>
      </c>
      <c r="D58" s="20">
        <f t="shared" si="27"/>
        <v>0</v>
      </c>
      <c r="E58" s="20">
        <f t="shared" si="27"/>
        <v>14820</v>
      </c>
      <c r="F58" s="20">
        <f t="shared" si="27"/>
        <v>281980</v>
      </c>
      <c r="G58" s="20">
        <f t="shared" si="27"/>
        <v>210881</v>
      </c>
      <c r="H58" s="20">
        <f t="shared" si="27"/>
        <v>43775</v>
      </c>
      <c r="I58" s="20">
        <f t="shared" si="27"/>
        <v>0</v>
      </c>
      <c r="J58" s="20">
        <f t="shared" si="27"/>
        <v>5316</v>
      </c>
      <c r="K58" s="20">
        <f t="shared" si="27"/>
        <v>259972</v>
      </c>
      <c r="L58" s="20">
        <f>+L59+L60+L61</f>
        <v>564</v>
      </c>
      <c r="M58" s="20">
        <f>+M59+M60+M61</f>
        <v>11940</v>
      </c>
      <c r="N58" s="20"/>
      <c r="O58" s="20">
        <f>+O59+O60+O61</f>
        <v>9504</v>
      </c>
      <c r="P58" s="21">
        <f>+P59+P60+P61</f>
        <v>22008</v>
      </c>
      <c r="Q58" s="18"/>
    </row>
    <row r="59" spans="1:17" ht="12.75" customHeight="1">
      <c r="A59" s="22" t="s">
        <v>16</v>
      </c>
      <c r="B59" s="29">
        <v>144898</v>
      </c>
      <c r="C59" s="29">
        <v>53751</v>
      </c>
      <c r="D59" s="29"/>
      <c r="E59" s="30">
        <v>14820</v>
      </c>
      <c r="F59" s="24">
        <f>SUM(B59:E59)</f>
        <v>213469</v>
      </c>
      <c r="G59" s="29">
        <v>144898</v>
      </c>
      <c r="H59" s="29">
        <v>43775</v>
      </c>
      <c r="I59" s="29"/>
      <c r="J59" s="29">
        <v>5316</v>
      </c>
      <c r="K59" s="24">
        <f>SUM(G59:J59)</f>
        <v>193989</v>
      </c>
      <c r="L59" s="25">
        <f t="shared" ref="L59:M61" si="28">+B59-G59</f>
        <v>0</v>
      </c>
      <c r="M59" s="25">
        <f t="shared" si="28"/>
        <v>9976</v>
      </c>
      <c r="N59" s="25"/>
      <c r="O59" s="25">
        <f>+E59-J59</f>
        <v>9504</v>
      </c>
      <c r="P59" s="26">
        <f>SUM(L59:O59)</f>
        <v>19480</v>
      </c>
      <c r="Q59" s="18"/>
    </row>
    <row r="60" spans="1:17" ht="12.75" customHeight="1">
      <c r="A60" s="22" t="s">
        <v>17</v>
      </c>
      <c r="B60" s="29">
        <v>54510</v>
      </c>
      <c r="C60" s="34"/>
      <c r="D60" s="34"/>
      <c r="E60" s="30"/>
      <c r="F60" s="24">
        <f>SUM(B60:E60)</f>
        <v>54510</v>
      </c>
      <c r="G60" s="29">
        <f>20603+33771</f>
        <v>54374</v>
      </c>
      <c r="H60" s="34"/>
      <c r="I60" s="34"/>
      <c r="J60" s="34"/>
      <c r="K60" s="24">
        <f>SUM(G60:J60)</f>
        <v>54374</v>
      </c>
      <c r="L60" s="25">
        <f t="shared" si="28"/>
        <v>136</v>
      </c>
      <c r="M60" s="25">
        <f t="shared" si="28"/>
        <v>0</v>
      </c>
      <c r="N60" s="25"/>
      <c r="O60" s="25">
        <f>+E60-J60</f>
        <v>0</v>
      </c>
      <c r="P60" s="26">
        <f>SUM(L60:O60)</f>
        <v>136</v>
      </c>
      <c r="Q60" s="18"/>
    </row>
    <row r="61" spans="1:17" ht="12.75" customHeight="1">
      <c r="A61" s="22" t="s">
        <v>18</v>
      </c>
      <c r="B61" s="29">
        <v>12037</v>
      </c>
      <c r="C61" s="29">
        <v>1964</v>
      </c>
      <c r="D61" s="29"/>
      <c r="E61" s="30"/>
      <c r="F61" s="24">
        <f>SUM(B61:E61)</f>
        <v>14001</v>
      </c>
      <c r="G61" s="29">
        <v>11609</v>
      </c>
      <c r="H61" s="29"/>
      <c r="I61" s="29"/>
      <c r="J61" s="34"/>
      <c r="K61" s="24">
        <f>SUM(G61:J61)</f>
        <v>11609</v>
      </c>
      <c r="L61" s="25">
        <f t="shared" si="28"/>
        <v>428</v>
      </c>
      <c r="M61" s="25">
        <f t="shared" si="28"/>
        <v>1964</v>
      </c>
      <c r="N61" s="25"/>
      <c r="O61" s="25">
        <f>+E61-J61</f>
        <v>0</v>
      </c>
      <c r="P61" s="26">
        <f>SUM(L61:O61)</f>
        <v>2392</v>
      </c>
      <c r="Q61" s="18"/>
    </row>
    <row r="62" spans="1:17" ht="12.75" customHeight="1">
      <c r="A62" s="22" t="s">
        <v>19</v>
      </c>
      <c r="B62" s="27">
        <f t="shared" ref="B62:K62" si="29">+B63+B64</f>
        <v>0</v>
      </c>
      <c r="C62" s="27">
        <f t="shared" si="29"/>
        <v>15683</v>
      </c>
      <c r="D62" s="27">
        <f t="shared" si="29"/>
        <v>0</v>
      </c>
      <c r="E62" s="27">
        <f t="shared" si="29"/>
        <v>3818</v>
      </c>
      <c r="F62" s="27">
        <f t="shared" si="29"/>
        <v>19501</v>
      </c>
      <c r="G62" s="27">
        <f t="shared" si="29"/>
        <v>0</v>
      </c>
      <c r="H62" s="27">
        <f t="shared" si="29"/>
        <v>13500</v>
      </c>
      <c r="I62" s="27">
        <f t="shared" si="29"/>
        <v>0</v>
      </c>
      <c r="J62" s="27">
        <f t="shared" si="29"/>
        <v>3587</v>
      </c>
      <c r="K62" s="27">
        <f t="shared" si="29"/>
        <v>17087</v>
      </c>
      <c r="L62" s="27">
        <f>+L63+L64</f>
        <v>0</v>
      </c>
      <c r="M62" s="27">
        <f>+M63+M64</f>
        <v>2183</v>
      </c>
      <c r="N62" s="27"/>
      <c r="O62" s="27">
        <f>+O63+O64</f>
        <v>231</v>
      </c>
      <c r="P62" s="28">
        <f>+P63+P64</f>
        <v>2414</v>
      </c>
      <c r="Q62" s="18"/>
    </row>
    <row r="63" spans="1:17" ht="12.75" customHeight="1">
      <c r="A63" s="22" t="s">
        <v>20</v>
      </c>
      <c r="B63" s="29"/>
      <c r="C63" s="29">
        <v>15683</v>
      </c>
      <c r="D63" s="29"/>
      <c r="E63" s="30">
        <v>3818</v>
      </c>
      <c r="F63" s="24">
        <f>SUM(B63:E63)</f>
        <v>19501</v>
      </c>
      <c r="G63" s="29"/>
      <c r="H63" s="29">
        <v>13500</v>
      </c>
      <c r="I63" s="29"/>
      <c r="J63" s="29">
        <v>3587</v>
      </c>
      <c r="K63" s="24">
        <f>SUM(G63:J63)</f>
        <v>17087</v>
      </c>
      <c r="L63" s="25">
        <f>+B63-G63</f>
        <v>0</v>
      </c>
      <c r="M63" s="25">
        <f>+C63-H63</f>
        <v>2183</v>
      </c>
      <c r="N63" s="25"/>
      <c r="O63" s="25">
        <f>+E63-J63</f>
        <v>231</v>
      </c>
      <c r="P63" s="26">
        <f>SUM(L63:O63)</f>
        <v>2414</v>
      </c>
      <c r="Q63" s="18"/>
    </row>
    <row r="64" spans="1:17" ht="12.75" customHeight="1">
      <c r="A64" s="22" t="s">
        <v>21</v>
      </c>
      <c r="B64" s="29"/>
      <c r="C64" s="29"/>
      <c r="D64" s="29"/>
      <c r="E64" s="30"/>
      <c r="F64" s="24">
        <f>SUM(B64:E64)</f>
        <v>0</v>
      </c>
      <c r="G64" s="29"/>
      <c r="H64" s="29"/>
      <c r="I64" s="29"/>
      <c r="J64" s="29"/>
      <c r="K64" s="24">
        <f>SUM(G64:J64)</f>
        <v>0</v>
      </c>
      <c r="L64" s="25">
        <f>+B64-G64</f>
        <v>0</v>
      </c>
      <c r="M64" s="25">
        <f>+C64-H64</f>
        <v>0</v>
      </c>
      <c r="N64" s="25"/>
      <c r="O64" s="25">
        <f>+E64-J64</f>
        <v>0</v>
      </c>
      <c r="P64" s="26">
        <f>SUM(L64:O64)</f>
        <v>0</v>
      </c>
      <c r="Q64" s="18"/>
    </row>
    <row r="65" spans="1:17" ht="12.75" customHeight="1">
      <c r="A65" s="57"/>
      <c r="B65" s="25"/>
      <c r="C65" s="25"/>
      <c r="D65" s="25"/>
      <c r="E65" s="43"/>
      <c r="F65" s="24"/>
      <c r="G65" s="25"/>
      <c r="H65" s="25"/>
      <c r="I65" s="25"/>
      <c r="J65" s="25"/>
      <c r="K65" s="24"/>
      <c r="L65" s="25"/>
      <c r="M65" s="25"/>
      <c r="N65" s="25"/>
      <c r="O65" s="25"/>
      <c r="P65" s="26"/>
      <c r="Q65" s="18"/>
    </row>
    <row r="66" spans="1:17" ht="12.75" customHeight="1">
      <c r="A66" s="218" t="s">
        <v>117</v>
      </c>
      <c r="B66" s="17">
        <f t="shared" ref="B66:K66" si="30">+B67+B71</f>
        <v>555308</v>
      </c>
      <c r="C66" s="17">
        <f t="shared" si="30"/>
        <v>422812</v>
      </c>
      <c r="D66" s="17">
        <f t="shared" si="30"/>
        <v>0</v>
      </c>
      <c r="E66" s="17">
        <f t="shared" si="30"/>
        <v>740973</v>
      </c>
      <c r="F66" s="17">
        <f t="shared" si="30"/>
        <v>1719093</v>
      </c>
      <c r="G66" s="17">
        <f t="shared" si="30"/>
        <v>552034</v>
      </c>
      <c r="H66" s="17">
        <f t="shared" si="30"/>
        <v>219793</v>
      </c>
      <c r="I66" s="17">
        <f t="shared" si="30"/>
        <v>0</v>
      </c>
      <c r="J66" s="17">
        <f t="shared" si="30"/>
        <v>25060</v>
      </c>
      <c r="K66" s="17">
        <f t="shared" si="30"/>
        <v>796887</v>
      </c>
      <c r="L66" s="17">
        <f>+L67+L71</f>
        <v>3274</v>
      </c>
      <c r="M66" s="17">
        <f>+M67+M71</f>
        <v>203019</v>
      </c>
      <c r="N66" s="17"/>
      <c r="O66" s="17">
        <f>+O67+O71</f>
        <v>715913</v>
      </c>
      <c r="P66" s="17">
        <f>+P67+P71</f>
        <v>922206</v>
      </c>
      <c r="Q66" s="18">
        <f>+K66/F66</f>
        <v>0.46355083756376181</v>
      </c>
    </row>
    <row r="67" spans="1:17" ht="12.75" customHeight="1">
      <c r="A67" s="58" t="s">
        <v>15</v>
      </c>
      <c r="B67" s="20">
        <f t="shared" ref="B67:K67" si="31">+B68+B69+B70</f>
        <v>555308</v>
      </c>
      <c r="C67" s="20">
        <f t="shared" si="31"/>
        <v>422812</v>
      </c>
      <c r="D67" s="20">
        <f t="shared" si="31"/>
        <v>0</v>
      </c>
      <c r="E67" s="20">
        <f t="shared" si="31"/>
        <v>740973</v>
      </c>
      <c r="F67" s="20">
        <f t="shared" si="31"/>
        <v>1719093</v>
      </c>
      <c r="G67" s="20">
        <f t="shared" si="31"/>
        <v>552034</v>
      </c>
      <c r="H67" s="20">
        <f t="shared" si="31"/>
        <v>219793</v>
      </c>
      <c r="I67" s="20">
        <f t="shared" si="31"/>
        <v>0</v>
      </c>
      <c r="J67" s="20">
        <f t="shared" si="31"/>
        <v>25060</v>
      </c>
      <c r="K67" s="20">
        <f t="shared" si="31"/>
        <v>796887</v>
      </c>
      <c r="L67" s="20">
        <f>+L68+L69+L70</f>
        <v>3274</v>
      </c>
      <c r="M67" s="20">
        <f>+M68+M69+M70</f>
        <v>203019</v>
      </c>
      <c r="N67" s="20"/>
      <c r="O67" s="20">
        <f>+O68+O69+O70</f>
        <v>715913</v>
      </c>
      <c r="P67" s="21">
        <f>+P68+P69+P70</f>
        <v>922206</v>
      </c>
      <c r="Q67" s="18"/>
    </row>
    <row r="68" spans="1:17" ht="12.75" customHeight="1">
      <c r="A68" s="22" t="s">
        <v>16</v>
      </c>
      <c r="B68" s="29">
        <v>391067</v>
      </c>
      <c r="C68" s="29">
        <v>224002</v>
      </c>
      <c r="D68" s="29"/>
      <c r="E68" s="30"/>
      <c r="F68" s="24">
        <f>SUM(B68:E68)</f>
        <v>615069</v>
      </c>
      <c r="G68" s="29">
        <f>504932-113865</f>
        <v>391067</v>
      </c>
      <c r="H68" s="29">
        <v>179651</v>
      </c>
      <c r="I68" s="29"/>
      <c r="J68" s="29"/>
      <c r="K68" s="24">
        <f>SUM(G68:J68)</f>
        <v>570718</v>
      </c>
      <c r="L68" s="25">
        <f t="shared" ref="L68:M70" si="32">+B68-G68</f>
        <v>0</v>
      </c>
      <c r="M68" s="25">
        <f t="shared" si="32"/>
        <v>44351</v>
      </c>
      <c r="N68" s="25"/>
      <c r="O68" s="25">
        <f>+E68-J68</f>
        <v>0</v>
      </c>
      <c r="P68" s="26">
        <f>SUM(L68:O68)</f>
        <v>44351</v>
      </c>
      <c r="Q68" s="18"/>
    </row>
    <row r="69" spans="1:17" ht="12.75" customHeight="1">
      <c r="A69" s="22" t="s">
        <v>17</v>
      </c>
      <c r="B69" s="29">
        <v>125624</v>
      </c>
      <c r="C69" s="29">
        <v>198810</v>
      </c>
      <c r="D69" s="29"/>
      <c r="E69" s="30">
        <v>740973</v>
      </c>
      <c r="F69" s="24">
        <f>SUM(B69:E69)</f>
        <v>1065407</v>
      </c>
      <c r="G69" s="29">
        <f>10420+113865</f>
        <v>124285</v>
      </c>
      <c r="H69" s="29">
        <f>36208+554+3379+1</f>
        <v>40142</v>
      </c>
      <c r="I69" s="29"/>
      <c r="J69" s="29">
        <v>25060</v>
      </c>
      <c r="K69" s="24">
        <f>SUM(G69:J69)</f>
        <v>189487</v>
      </c>
      <c r="L69" s="25">
        <f t="shared" si="32"/>
        <v>1339</v>
      </c>
      <c r="M69" s="25">
        <f t="shared" si="32"/>
        <v>158668</v>
      </c>
      <c r="N69" s="25"/>
      <c r="O69" s="25">
        <f>+E69-J69</f>
        <v>715913</v>
      </c>
      <c r="P69" s="26">
        <f>SUM(L69:O69)</f>
        <v>875920</v>
      </c>
      <c r="Q69" s="18"/>
    </row>
    <row r="70" spans="1:17" ht="12.75" customHeight="1">
      <c r="A70" s="22" t="s">
        <v>18</v>
      </c>
      <c r="B70" s="29">
        <v>38617</v>
      </c>
      <c r="C70" s="34"/>
      <c r="D70" s="34"/>
      <c r="E70" s="35"/>
      <c r="F70" s="24">
        <f>SUM(B70:E70)</f>
        <v>38617</v>
      </c>
      <c r="G70" s="29">
        <v>36682</v>
      </c>
      <c r="H70" s="34"/>
      <c r="I70" s="34"/>
      <c r="J70" s="34"/>
      <c r="K70" s="24">
        <f>SUM(G70:J70)</f>
        <v>36682</v>
      </c>
      <c r="L70" s="25">
        <f t="shared" si="32"/>
        <v>1935</v>
      </c>
      <c r="M70" s="25">
        <f t="shared" si="32"/>
        <v>0</v>
      </c>
      <c r="N70" s="25"/>
      <c r="O70" s="25">
        <f>+E70-J70</f>
        <v>0</v>
      </c>
      <c r="P70" s="26">
        <f>SUM(L70:O70)</f>
        <v>1935</v>
      </c>
      <c r="Q70" s="18"/>
    </row>
    <row r="71" spans="1:17" ht="12.75" customHeight="1">
      <c r="A71" s="22" t="s">
        <v>19</v>
      </c>
      <c r="B71" s="27">
        <f t="shared" ref="B71:K71" si="33">+B72+B73</f>
        <v>0</v>
      </c>
      <c r="C71" s="27">
        <f t="shared" si="33"/>
        <v>0</v>
      </c>
      <c r="D71" s="27">
        <f t="shared" si="33"/>
        <v>0</v>
      </c>
      <c r="E71" s="27">
        <f t="shared" si="33"/>
        <v>0</v>
      </c>
      <c r="F71" s="27">
        <f t="shared" si="33"/>
        <v>0</v>
      </c>
      <c r="G71" s="27">
        <f t="shared" si="33"/>
        <v>0</v>
      </c>
      <c r="H71" s="27">
        <f t="shared" si="33"/>
        <v>0</v>
      </c>
      <c r="I71" s="27">
        <f t="shared" si="33"/>
        <v>0</v>
      </c>
      <c r="J71" s="27">
        <f t="shared" si="33"/>
        <v>0</v>
      </c>
      <c r="K71" s="27">
        <f t="shared" si="33"/>
        <v>0</v>
      </c>
      <c r="L71" s="27">
        <f>+L72+L73</f>
        <v>0</v>
      </c>
      <c r="M71" s="27">
        <f>+M72+M73</f>
        <v>0</v>
      </c>
      <c r="N71" s="27"/>
      <c r="O71" s="27">
        <f>+O72+O73</f>
        <v>0</v>
      </c>
      <c r="P71" s="28">
        <f>+P72+P73</f>
        <v>0</v>
      </c>
      <c r="Q71" s="18"/>
    </row>
    <row r="72" spans="1:17" ht="12.75" customHeight="1">
      <c r="A72" s="22" t="s">
        <v>20</v>
      </c>
      <c r="B72" s="29"/>
      <c r="C72" s="29"/>
      <c r="D72" s="29"/>
      <c r="E72" s="30"/>
      <c r="F72" s="24">
        <f>SUM(B72:E72)</f>
        <v>0</v>
      </c>
      <c r="G72" s="29"/>
      <c r="H72" s="29"/>
      <c r="I72" s="29"/>
      <c r="J72" s="29"/>
      <c r="K72" s="24">
        <f>SUM(G72:J72)</f>
        <v>0</v>
      </c>
      <c r="L72" s="25">
        <f>+B72-G72</f>
        <v>0</v>
      </c>
      <c r="M72" s="25">
        <f>+C72-H72</f>
        <v>0</v>
      </c>
      <c r="N72" s="25"/>
      <c r="O72" s="25">
        <f>+E72-J72</f>
        <v>0</v>
      </c>
      <c r="P72" s="26">
        <f>SUM(L72:O72)</f>
        <v>0</v>
      </c>
      <c r="Q72" s="18"/>
    </row>
    <row r="73" spans="1:17" ht="12.75" customHeight="1">
      <c r="A73" s="22" t="s">
        <v>21</v>
      </c>
      <c r="B73" s="29"/>
      <c r="C73" s="29"/>
      <c r="D73" s="29"/>
      <c r="E73" s="30"/>
      <c r="F73" s="24">
        <f>SUM(B73:E73)</f>
        <v>0</v>
      </c>
      <c r="G73" s="29"/>
      <c r="H73" s="29"/>
      <c r="I73" s="29"/>
      <c r="J73" s="29"/>
      <c r="K73" s="24">
        <f>SUM(G73:J73)</f>
        <v>0</v>
      </c>
      <c r="L73" s="25">
        <f>+B73-G73</f>
        <v>0</v>
      </c>
      <c r="M73" s="25">
        <f>+C73-H73</f>
        <v>0</v>
      </c>
      <c r="N73" s="25"/>
      <c r="O73" s="25">
        <f>+E73-J73</f>
        <v>0</v>
      </c>
      <c r="P73" s="26">
        <f>SUM(L73:O73)</f>
        <v>0</v>
      </c>
      <c r="Q73" s="18"/>
    </row>
    <row r="74" spans="1:17" ht="12.75" customHeight="1">
      <c r="A74" s="57"/>
      <c r="B74" s="25"/>
      <c r="C74" s="25"/>
      <c r="D74" s="25"/>
      <c r="E74" s="43"/>
      <c r="F74" s="24"/>
      <c r="G74" s="47"/>
      <c r="H74" s="47"/>
      <c r="I74" s="47"/>
      <c r="J74" s="47"/>
      <c r="K74" s="32"/>
      <c r="L74" s="25"/>
      <c r="M74" s="25"/>
      <c r="N74" s="25"/>
      <c r="O74" s="25"/>
      <c r="P74" s="26"/>
      <c r="Q74" s="18"/>
    </row>
    <row r="75" spans="1:17" ht="12.75" customHeight="1">
      <c r="A75" s="218" t="s">
        <v>118</v>
      </c>
      <c r="B75" s="17">
        <f t="shared" ref="B75:K75" si="34">+B76+B80</f>
        <v>136280</v>
      </c>
      <c r="C75" s="17">
        <f t="shared" si="34"/>
        <v>285661</v>
      </c>
      <c r="D75" s="17">
        <f t="shared" si="34"/>
        <v>0</v>
      </c>
      <c r="E75" s="17">
        <f t="shared" si="34"/>
        <v>239022</v>
      </c>
      <c r="F75" s="17">
        <f t="shared" si="34"/>
        <v>660963</v>
      </c>
      <c r="G75" s="17">
        <f t="shared" si="34"/>
        <v>136280</v>
      </c>
      <c r="H75" s="17">
        <f t="shared" si="34"/>
        <v>234995</v>
      </c>
      <c r="I75" s="17">
        <f t="shared" si="34"/>
        <v>0</v>
      </c>
      <c r="J75" s="17">
        <f t="shared" si="34"/>
        <v>186804</v>
      </c>
      <c r="K75" s="17">
        <f t="shared" si="34"/>
        <v>558079</v>
      </c>
      <c r="L75" s="17">
        <f>+L76+L80</f>
        <v>0</v>
      </c>
      <c r="M75" s="17">
        <f>+M76+M80</f>
        <v>50666</v>
      </c>
      <c r="N75" s="17"/>
      <c r="O75" s="17">
        <f>+O76+O80</f>
        <v>52218</v>
      </c>
      <c r="P75" s="17">
        <f>+P76+P80</f>
        <v>102884</v>
      </c>
      <c r="Q75" s="18">
        <f>+K75/F75</f>
        <v>0.84434227029349596</v>
      </c>
    </row>
    <row r="76" spans="1:17" ht="12.75" customHeight="1">
      <c r="A76" s="58" t="s">
        <v>15</v>
      </c>
      <c r="B76" s="20">
        <f t="shared" ref="B76:K76" si="35">+B77+B78+B79</f>
        <v>136280</v>
      </c>
      <c r="C76" s="20">
        <f t="shared" si="35"/>
        <v>186330</v>
      </c>
      <c r="D76" s="20">
        <f t="shared" si="35"/>
        <v>0</v>
      </c>
      <c r="E76" s="20">
        <f t="shared" si="35"/>
        <v>216860</v>
      </c>
      <c r="F76" s="20">
        <f t="shared" si="35"/>
        <v>539470</v>
      </c>
      <c r="G76" s="20">
        <f t="shared" si="35"/>
        <v>136280</v>
      </c>
      <c r="H76" s="20">
        <f t="shared" si="35"/>
        <v>137627</v>
      </c>
      <c r="I76" s="20">
        <f t="shared" si="35"/>
        <v>0</v>
      </c>
      <c r="J76" s="20">
        <f t="shared" si="35"/>
        <v>164951</v>
      </c>
      <c r="K76" s="20">
        <f t="shared" si="35"/>
        <v>438858</v>
      </c>
      <c r="L76" s="20">
        <f>+L77+L78+L79</f>
        <v>0</v>
      </c>
      <c r="M76" s="20">
        <f>+M77+M78+M79</f>
        <v>48703</v>
      </c>
      <c r="N76" s="20"/>
      <c r="O76" s="20">
        <f>+O77+O78+O79</f>
        <v>51909</v>
      </c>
      <c r="P76" s="21">
        <f>+P77+P78+P79</f>
        <v>100612</v>
      </c>
      <c r="Q76" s="18"/>
    </row>
    <row r="77" spans="1:17" ht="12.75" customHeight="1">
      <c r="A77" s="22" t="s">
        <v>16</v>
      </c>
      <c r="B77" s="29">
        <v>91849</v>
      </c>
      <c r="C77" s="29">
        <v>186330</v>
      </c>
      <c r="D77" s="29"/>
      <c r="E77" s="30">
        <v>216860</v>
      </c>
      <c r="F77" s="24">
        <f>SUM(B77:E77)</f>
        <v>495039</v>
      </c>
      <c r="G77" s="29">
        <v>91849</v>
      </c>
      <c r="H77" s="29">
        <v>137627</v>
      </c>
      <c r="I77" s="29"/>
      <c r="J77" s="29">
        <v>164951</v>
      </c>
      <c r="K77" s="24">
        <f>SUM(G77:J77)</f>
        <v>394427</v>
      </c>
      <c r="L77" s="25">
        <f t="shared" ref="L77:M79" si="36">+B77-G77</f>
        <v>0</v>
      </c>
      <c r="M77" s="25">
        <f t="shared" si="36"/>
        <v>48703</v>
      </c>
      <c r="N77" s="25"/>
      <c r="O77" s="25">
        <f>+E77-J77</f>
        <v>51909</v>
      </c>
      <c r="P77" s="26">
        <f>SUM(L77:O77)</f>
        <v>100612</v>
      </c>
      <c r="Q77" s="18"/>
    </row>
    <row r="78" spans="1:17" ht="12.75" customHeight="1">
      <c r="A78" s="22" t="s">
        <v>17</v>
      </c>
      <c r="B78" s="29">
        <v>36961</v>
      </c>
      <c r="C78" s="34"/>
      <c r="D78" s="34"/>
      <c r="E78" s="30"/>
      <c r="F78" s="24">
        <f>SUM(B78:E78)</f>
        <v>36961</v>
      </c>
      <c r="G78" s="29">
        <f>7988+28973</f>
        <v>36961</v>
      </c>
      <c r="H78" s="34"/>
      <c r="I78" s="34"/>
      <c r="J78" s="34"/>
      <c r="K78" s="24">
        <f>SUM(G78:J78)</f>
        <v>36961</v>
      </c>
      <c r="L78" s="25">
        <f t="shared" si="36"/>
        <v>0</v>
      </c>
      <c r="M78" s="25">
        <f t="shared" si="36"/>
        <v>0</v>
      </c>
      <c r="N78" s="25"/>
      <c r="O78" s="25">
        <f>+E78-J78</f>
        <v>0</v>
      </c>
      <c r="P78" s="26">
        <f>SUM(L78:O78)</f>
        <v>0</v>
      </c>
      <c r="Q78" s="18"/>
    </row>
    <row r="79" spans="1:17" ht="12.75" customHeight="1">
      <c r="A79" s="22" t="s">
        <v>18</v>
      </c>
      <c r="B79" s="29">
        <v>7470</v>
      </c>
      <c r="C79" s="34"/>
      <c r="D79" s="34"/>
      <c r="E79" s="35"/>
      <c r="F79" s="24">
        <f>SUM(B79:E79)</f>
        <v>7470</v>
      </c>
      <c r="G79" s="29">
        <v>7470</v>
      </c>
      <c r="H79" s="34"/>
      <c r="I79" s="34"/>
      <c r="J79" s="34"/>
      <c r="K79" s="24">
        <f>SUM(G79:J79)</f>
        <v>7470</v>
      </c>
      <c r="L79" s="25">
        <f t="shared" si="36"/>
        <v>0</v>
      </c>
      <c r="M79" s="25">
        <f t="shared" si="36"/>
        <v>0</v>
      </c>
      <c r="N79" s="25"/>
      <c r="O79" s="25">
        <f>+E79-J79</f>
        <v>0</v>
      </c>
      <c r="P79" s="26">
        <f>SUM(L79:O79)</f>
        <v>0</v>
      </c>
      <c r="Q79" s="18"/>
    </row>
    <row r="80" spans="1:17" ht="12.75" customHeight="1">
      <c r="A80" s="22" t="s">
        <v>19</v>
      </c>
      <c r="B80" s="27">
        <f t="shared" ref="B80:K80" si="37">+B81+B82</f>
        <v>0</v>
      </c>
      <c r="C80" s="27">
        <f t="shared" si="37"/>
        <v>99331</v>
      </c>
      <c r="D80" s="27">
        <f t="shared" si="37"/>
        <v>0</v>
      </c>
      <c r="E80" s="27">
        <f t="shared" si="37"/>
        <v>22162</v>
      </c>
      <c r="F80" s="27">
        <f t="shared" si="37"/>
        <v>121493</v>
      </c>
      <c r="G80" s="27">
        <f t="shared" si="37"/>
        <v>0</v>
      </c>
      <c r="H80" s="27">
        <f t="shared" si="37"/>
        <v>97368</v>
      </c>
      <c r="I80" s="27">
        <f t="shared" si="37"/>
        <v>0</v>
      </c>
      <c r="J80" s="27">
        <f t="shared" si="37"/>
        <v>21853</v>
      </c>
      <c r="K80" s="27">
        <f t="shared" si="37"/>
        <v>119221</v>
      </c>
      <c r="L80" s="27">
        <f>+L81+L82</f>
        <v>0</v>
      </c>
      <c r="M80" s="27">
        <f>+M81+M82</f>
        <v>1963</v>
      </c>
      <c r="N80" s="27"/>
      <c r="O80" s="27">
        <f>+O81+O82</f>
        <v>309</v>
      </c>
      <c r="P80" s="28">
        <f>+P81+P82</f>
        <v>2272</v>
      </c>
      <c r="Q80" s="18"/>
    </row>
    <row r="81" spans="1:17" ht="12.75" customHeight="1">
      <c r="A81" s="22" t="s">
        <v>20</v>
      </c>
      <c r="B81" s="29"/>
      <c r="C81" s="29">
        <v>99331</v>
      </c>
      <c r="D81" s="29"/>
      <c r="E81" s="30">
        <v>22162</v>
      </c>
      <c r="F81" s="24">
        <f>SUM(B81:E81)</f>
        <v>121493</v>
      </c>
      <c r="G81" s="29"/>
      <c r="H81" s="29">
        <v>97368</v>
      </c>
      <c r="I81" s="29"/>
      <c r="J81" s="29">
        <v>21853</v>
      </c>
      <c r="K81" s="24">
        <f>SUM(G81:J81)</f>
        <v>119221</v>
      </c>
      <c r="L81" s="25">
        <f>+B81-G81</f>
        <v>0</v>
      </c>
      <c r="M81" s="25">
        <f>+C81-H81</f>
        <v>1963</v>
      </c>
      <c r="N81" s="25"/>
      <c r="O81" s="25">
        <f>+E81-J81</f>
        <v>309</v>
      </c>
      <c r="P81" s="26">
        <f>SUM(L81:O81)</f>
        <v>2272</v>
      </c>
      <c r="Q81" s="18"/>
    </row>
    <row r="82" spans="1:17" ht="12.75" customHeight="1">
      <c r="A82" s="22" t="s">
        <v>21</v>
      </c>
      <c r="B82" s="29"/>
      <c r="C82" s="29"/>
      <c r="D82" s="29"/>
      <c r="E82" s="30"/>
      <c r="F82" s="24">
        <f>SUM(B82:E82)</f>
        <v>0</v>
      </c>
      <c r="G82" s="29"/>
      <c r="H82" s="29"/>
      <c r="I82" s="29"/>
      <c r="J82" s="29"/>
      <c r="K82" s="24">
        <f>SUM(G82:J82)</f>
        <v>0</v>
      </c>
      <c r="L82" s="25">
        <f>+B82-G82</f>
        <v>0</v>
      </c>
      <c r="M82" s="25">
        <f>+C82-H82</f>
        <v>0</v>
      </c>
      <c r="N82" s="25"/>
      <c r="O82" s="25">
        <f>+E82-J82</f>
        <v>0</v>
      </c>
      <c r="P82" s="26">
        <f>SUM(L82:O82)</f>
        <v>0</v>
      </c>
      <c r="Q82" s="18"/>
    </row>
    <row r="83" spans="1:17" ht="12.75" customHeight="1">
      <c r="A83" s="57"/>
      <c r="B83" s="25"/>
      <c r="C83" s="25"/>
      <c r="D83" s="25"/>
      <c r="E83" s="43"/>
      <c r="F83" s="24"/>
      <c r="G83" s="47"/>
      <c r="H83" s="47"/>
      <c r="I83" s="47"/>
      <c r="J83" s="47"/>
      <c r="K83" s="32"/>
      <c r="L83" s="25"/>
      <c r="M83" s="25"/>
      <c r="N83" s="25"/>
      <c r="O83" s="25"/>
      <c r="P83" s="26"/>
      <c r="Q83" s="18"/>
    </row>
    <row r="84" spans="1:17" ht="12.75" customHeight="1">
      <c r="A84" s="218" t="s">
        <v>119</v>
      </c>
      <c r="B84" s="17">
        <f t="shared" ref="B84:K84" si="38">+B85+B89</f>
        <v>8552</v>
      </c>
      <c r="C84" s="17">
        <f t="shared" si="38"/>
        <v>58066</v>
      </c>
      <c r="D84" s="17">
        <f t="shared" si="38"/>
        <v>0</v>
      </c>
      <c r="E84" s="17">
        <f t="shared" si="38"/>
        <v>3624</v>
      </c>
      <c r="F84" s="17">
        <f t="shared" si="38"/>
        <v>70242</v>
      </c>
      <c r="G84" s="17">
        <f t="shared" si="38"/>
        <v>8550</v>
      </c>
      <c r="H84" s="17">
        <f t="shared" si="38"/>
        <v>50570</v>
      </c>
      <c r="I84" s="17">
        <f t="shared" si="38"/>
        <v>0</v>
      </c>
      <c r="J84" s="17">
        <f t="shared" si="38"/>
        <v>3038</v>
      </c>
      <c r="K84" s="17">
        <f t="shared" si="38"/>
        <v>62158</v>
      </c>
      <c r="L84" s="17">
        <f t="shared" ref="L84:P84" si="39">+L85+L89</f>
        <v>2</v>
      </c>
      <c r="M84" s="17">
        <f t="shared" si="39"/>
        <v>7496</v>
      </c>
      <c r="N84" s="17"/>
      <c r="O84" s="17">
        <f t="shared" si="39"/>
        <v>586</v>
      </c>
      <c r="P84" s="17">
        <f t="shared" si="39"/>
        <v>8084</v>
      </c>
      <c r="Q84" s="18">
        <f>+K84/F84</f>
        <v>0.88491216081546653</v>
      </c>
    </row>
    <row r="85" spans="1:17" ht="12.75" customHeight="1">
      <c r="A85" s="58" t="s">
        <v>15</v>
      </c>
      <c r="B85" s="20">
        <f t="shared" ref="B85:K85" si="40">+B86+B87+B88</f>
        <v>8552</v>
      </c>
      <c r="C85" s="20">
        <f t="shared" si="40"/>
        <v>57443</v>
      </c>
      <c r="D85" s="20">
        <f t="shared" si="40"/>
        <v>0</v>
      </c>
      <c r="E85" s="20">
        <f t="shared" si="40"/>
        <v>3615</v>
      </c>
      <c r="F85" s="20">
        <f t="shared" si="40"/>
        <v>69610</v>
      </c>
      <c r="G85" s="20">
        <f t="shared" si="40"/>
        <v>8550</v>
      </c>
      <c r="H85" s="20">
        <f t="shared" si="40"/>
        <v>50004</v>
      </c>
      <c r="I85" s="20">
        <f t="shared" si="40"/>
        <v>0</v>
      </c>
      <c r="J85" s="20">
        <f t="shared" si="40"/>
        <v>3029</v>
      </c>
      <c r="K85" s="20">
        <f t="shared" si="40"/>
        <v>61583</v>
      </c>
      <c r="L85" s="20">
        <f>+L86+L87+L88</f>
        <v>2</v>
      </c>
      <c r="M85" s="20">
        <f>+M86+M87+M88</f>
        <v>7439</v>
      </c>
      <c r="N85" s="20"/>
      <c r="O85" s="20">
        <f>+O86+O87+O88</f>
        <v>586</v>
      </c>
      <c r="P85" s="21">
        <f>+P86+P87+P88</f>
        <v>8027</v>
      </c>
      <c r="Q85" s="18"/>
    </row>
    <row r="86" spans="1:17" ht="12.75" customHeight="1">
      <c r="A86" s="22" t="s">
        <v>16</v>
      </c>
      <c r="B86" s="29">
        <v>6727</v>
      </c>
      <c r="C86" s="29">
        <v>57443</v>
      </c>
      <c r="D86" s="29"/>
      <c r="E86" s="30">
        <v>3615</v>
      </c>
      <c r="F86" s="24">
        <f>SUM(B86:E86)</f>
        <v>67785</v>
      </c>
      <c r="G86" s="29">
        <v>6725</v>
      </c>
      <c r="H86" s="29">
        <v>50004</v>
      </c>
      <c r="I86" s="29"/>
      <c r="J86" s="29">
        <v>3029</v>
      </c>
      <c r="K86" s="24">
        <f>SUM(G86:J86)</f>
        <v>59758</v>
      </c>
      <c r="L86" s="25">
        <f t="shared" ref="L86:M88" si="41">+B86-G86</f>
        <v>2</v>
      </c>
      <c r="M86" s="25">
        <f t="shared" si="41"/>
        <v>7439</v>
      </c>
      <c r="N86" s="25"/>
      <c r="O86" s="25">
        <f>+E86-J86</f>
        <v>586</v>
      </c>
      <c r="P86" s="26">
        <f>SUM(L86:O86)</f>
        <v>8027</v>
      </c>
      <c r="Q86" s="18"/>
    </row>
    <row r="87" spans="1:17" ht="12.75" customHeight="1">
      <c r="A87" s="22" t="s">
        <v>17</v>
      </c>
      <c r="B87" s="29">
        <v>1295</v>
      </c>
      <c r="C87" s="34"/>
      <c r="D87" s="34"/>
      <c r="E87" s="30"/>
      <c r="F87" s="24">
        <f>SUM(B87:E87)</f>
        <v>1295</v>
      </c>
      <c r="G87" s="29">
        <v>1295</v>
      </c>
      <c r="H87" s="34"/>
      <c r="I87" s="34"/>
      <c r="J87" s="34"/>
      <c r="K87" s="24">
        <f>SUM(G87:J87)</f>
        <v>1295</v>
      </c>
      <c r="L87" s="25">
        <f t="shared" si="41"/>
        <v>0</v>
      </c>
      <c r="M87" s="25">
        <f t="shared" si="41"/>
        <v>0</v>
      </c>
      <c r="N87" s="25"/>
      <c r="O87" s="25">
        <f>+E87-J87</f>
        <v>0</v>
      </c>
      <c r="P87" s="26">
        <f>SUM(L87:O87)</f>
        <v>0</v>
      </c>
      <c r="Q87" s="18"/>
    </row>
    <row r="88" spans="1:17" ht="12.75" customHeight="1">
      <c r="A88" s="22" t="s">
        <v>18</v>
      </c>
      <c r="B88" s="29">
        <v>530</v>
      </c>
      <c r="C88" s="34"/>
      <c r="D88" s="34"/>
      <c r="E88" s="35"/>
      <c r="F88" s="24">
        <f>SUM(B88:E88)</f>
        <v>530</v>
      </c>
      <c r="G88" s="29">
        <v>530</v>
      </c>
      <c r="H88" s="34"/>
      <c r="I88" s="34"/>
      <c r="J88" s="34"/>
      <c r="K88" s="24">
        <f>SUM(G88:J88)</f>
        <v>530</v>
      </c>
      <c r="L88" s="25">
        <f t="shared" si="41"/>
        <v>0</v>
      </c>
      <c r="M88" s="25">
        <f t="shared" si="41"/>
        <v>0</v>
      </c>
      <c r="N88" s="25"/>
      <c r="O88" s="25">
        <f>+E88-J88</f>
        <v>0</v>
      </c>
      <c r="P88" s="26">
        <f>SUM(L88:O88)</f>
        <v>0</v>
      </c>
      <c r="Q88" s="18"/>
    </row>
    <row r="89" spans="1:17" ht="12.75" customHeight="1">
      <c r="A89" s="22" t="s">
        <v>19</v>
      </c>
      <c r="B89" s="27">
        <f t="shared" ref="B89:K89" si="42">+B90+B91</f>
        <v>0</v>
      </c>
      <c r="C89" s="27">
        <f t="shared" si="42"/>
        <v>623</v>
      </c>
      <c r="D89" s="27">
        <f t="shared" si="42"/>
        <v>0</v>
      </c>
      <c r="E89" s="27">
        <f t="shared" si="42"/>
        <v>9</v>
      </c>
      <c r="F89" s="27">
        <f t="shared" si="42"/>
        <v>632</v>
      </c>
      <c r="G89" s="27">
        <f t="shared" si="42"/>
        <v>0</v>
      </c>
      <c r="H89" s="27">
        <f t="shared" si="42"/>
        <v>566</v>
      </c>
      <c r="I89" s="27">
        <f t="shared" si="42"/>
        <v>0</v>
      </c>
      <c r="J89" s="27">
        <f t="shared" si="42"/>
        <v>9</v>
      </c>
      <c r="K89" s="27">
        <f t="shared" si="42"/>
        <v>575</v>
      </c>
      <c r="L89" s="27">
        <f>+L90+L91</f>
        <v>0</v>
      </c>
      <c r="M89" s="27">
        <f>+M90+M91</f>
        <v>57</v>
      </c>
      <c r="N89" s="27"/>
      <c r="O89" s="27">
        <f>+O90+O91</f>
        <v>0</v>
      </c>
      <c r="P89" s="28">
        <f>+P90+P91</f>
        <v>57</v>
      </c>
      <c r="Q89" s="18"/>
    </row>
    <row r="90" spans="1:17" ht="12.75" customHeight="1">
      <c r="A90" s="22" t="s">
        <v>20</v>
      </c>
      <c r="B90" s="29"/>
      <c r="C90" s="29">
        <v>623</v>
      </c>
      <c r="D90" s="29"/>
      <c r="E90" s="30">
        <v>9</v>
      </c>
      <c r="F90" s="24">
        <f>SUM(B90:E90)</f>
        <v>632</v>
      </c>
      <c r="G90" s="29"/>
      <c r="H90" s="29">
        <v>566</v>
      </c>
      <c r="I90" s="29"/>
      <c r="J90" s="29">
        <v>9</v>
      </c>
      <c r="K90" s="24">
        <f>SUM(G90:J90)</f>
        <v>575</v>
      </c>
      <c r="L90" s="25">
        <f>+B90-G90</f>
        <v>0</v>
      </c>
      <c r="M90" s="25">
        <f>+C90-H90</f>
        <v>57</v>
      </c>
      <c r="N90" s="25"/>
      <c r="O90" s="25">
        <f>+E90-J90</f>
        <v>0</v>
      </c>
      <c r="P90" s="26">
        <f>SUM(L90:O90)</f>
        <v>57</v>
      </c>
      <c r="Q90" s="18"/>
    </row>
    <row r="91" spans="1:17" ht="12.75" customHeight="1">
      <c r="A91" s="22" t="s">
        <v>21</v>
      </c>
      <c r="B91" s="29"/>
      <c r="C91" s="29"/>
      <c r="D91" s="29"/>
      <c r="E91" s="30"/>
      <c r="F91" s="24">
        <f>SUM(B91:E91)</f>
        <v>0</v>
      </c>
      <c r="G91" s="29"/>
      <c r="H91" s="29"/>
      <c r="I91" s="29"/>
      <c r="J91" s="29"/>
      <c r="K91" s="24">
        <f>SUM(G91:J91)</f>
        <v>0</v>
      </c>
      <c r="L91" s="25">
        <f>+B91-G91</f>
        <v>0</v>
      </c>
      <c r="M91" s="25">
        <f>+C91-H91</f>
        <v>0</v>
      </c>
      <c r="N91" s="25"/>
      <c r="O91" s="25">
        <f>+E91-J91</f>
        <v>0</v>
      </c>
      <c r="P91" s="26">
        <f>SUM(L91:O91)</f>
        <v>0</v>
      </c>
      <c r="Q91" s="18"/>
    </row>
    <row r="92" spans="1:17" ht="12.75" customHeight="1">
      <c r="A92" s="57"/>
      <c r="B92" s="25"/>
      <c r="C92" s="25"/>
      <c r="D92" s="25"/>
      <c r="E92" s="43"/>
      <c r="F92" s="24"/>
      <c r="G92" s="47"/>
      <c r="H92" s="47"/>
      <c r="I92" s="47"/>
      <c r="J92" s="47"/>
      <c r="K92" s="32"/>
      <c r="L92" s="25"/>
      <c r="M92" s="25"/>
      <c r="N92" s="25"/>
      <c r="O92" s="25"/>
      <c r="P92" s="26"/>
      <c r="Q92" s="18"/>
    </row>
    <row r="93" spans="1:17" ht="12.75" customHeight="1">
      <c r="A93" s="218" t="s">
        <v>120</v>
      </c>
      <c r="B93" s="17">
        <f t="shared" ref="B93:K93" si="43">+B94+B98</f>
        <v>23957</v>
      </c>
      <c r="C93" s="17">
        <f t="shared" si="43"/>
        <v>27951</v>
      </c>
      <c r="D93" s="17">
        <f t="shared" si="43"/>
        <v>0</v>
      </c>
      <c r="E93" s="17">
        <f t="shared" si="43"/>
        <v>24990</v>
      </c>
      <c r="F93" s="17">
        <f t="shared" si="43"/>
        <v>76898</v>
      </c>
      <c r="G93" s="17">
        <f t="shared" si="43"/>
        <v>23947</v>
      </c>
      <c r="H93" s="17">
        <f t="shared" si="43"/>
        <v>27785</v>
      </c>
      <c r="I93" s="17">
        <f t="shared" si="43"/>
        <v>0</v>
      </c>
      <c r="J93" s="17">
        <f t="shared" si="43"/>
        <v>24252</v>
      </c>
      <c r="K93" s="17">
        <f t="shared" si="43"/>
        <v>75984</v>
      </c>
      <c r="L93" s="17">
        <f>+L94+L98</f>
        <v>10</v>
      </c>
      <c r="M93" s="17">
        <f>+M94+M98</f>
        <v>166</v>
      </c>
      <c r="N93" s="17"/>
      <c r="O93" s="17">
        <f>+O94+O98</f>
        <v>738</v>
      </c>
      <c r="P93" s="17">
        <f>+P94+P98</f>
        <v>914</v>
      </c>
      <c r="Q93" s="18">
        <f>+K93/F93</f>
        <v>0.98811412520481678</v>
      </c>
    </row>
    <row r="94" spans="1:17" ht="12.75" customHeight="1">
      <c r="A94" s="58" t="s">
        <v>15</v>
      </c>
      <c r="B94" s="20">
        <f t="shared" ref="B94:K94" si="44">+B95+B96+B97</f>
        <v>23957</v>
      </c>
      <c r="C94" s="20">
        <f t="shared" si="44"/>
        <v>27951</v>
      </c>
      <c r="D94" s="20">
        <f t="shared" si="44"/>
        <v>0</v>
      </c>
      <c r="E94" s="20">
        <f t="shared" si="44"/>
        <v>24990</v>
      </c>
      <c r="F94" s="20">
        <f t="shared" si="44"/>
        <v>76898</v>
      </c>
      <c r="G94" s="20">
        <f t="shared" si="44"/>
        <v>23947</v>
      </c>
      <c r="H94" s="20">
        <f t="shared" si="44"/>
        <v>27785</v>
      </c>
      <c r="I94" s="20">
        <f t="shared" si="44"/>
        <v>0</v>
      </c>
      <c r="J94" s="20">
        <f t="shared" si="44"/>
        <v>24252</v>
      </c>
      <c r="K94" s="20">
        <f t="shared" si="44"/>
        <v>75984</v>
      </c>
      <c r="L94" s="20">
        <f>+L95+L96+L97</f>
        <v>10</v>
      </c>
      <c r="M94" s="20">
        <f>+M95+M96+M97</f>
        <v>166</v>
      </c>
      <c r="N94" s="20"/>
      <c r="O94" s="20">
        <f>+O95+O96+O97</f>
        <v>738</v>
      </c>
      <c r="P94" s="21">
        <f>+P95+P96+P97</f>
        <v>914</v>
      </c>
      <c r="Q94" s="18"/>
    </row>
    <row r="95" spans="1:17" ht="12.75" customHeight="1">
      <c r="A95" s="22" t="s">
        <v>16</v>
      </c>
      <c r="B95" s="29">
        <v>17474</v>
      </c>
      <c r="C95" s="29">
        <v>27951</v>
      </c>
      <c r="D95" s="29"/>
      <c r="E95" s="30">
        <v>24990</v>
      </c>
      <c r="F95" s="24">
        <f>SUM(B95:E95)</f>
        <v>70415</v>
      </c>
      <c r="G95" s="29">
        <v>17473</v>
      </c>
      <c r="H95" s="29">
        <v>27785</v>
      </c>
      <c r="I95" s="29"/>
      <c r="J95" s="29">
        <v>24252</v>
      </c>
      <c r="K95" s="24">
        <f>SUM(G95:J95)</f>
        <v>69510</v>
      </c>
      <c r="L95" s="25">
        <f t="shared" ref="L95:M97" si="45">+B95-G95</f>
        <v>1</v>
      </c>
      <c r="M95" s="25">
        <f t="shared" si="45"/>
        <v>166</v>
      </c>
      <c r="N95" s="25"/>
      <c r="O95" s="25">
        <f>+E95-J95</f>
        <v>738</v>
      </c>
      <c r="P95" s="26">
        <f>SUM(L95:O95)</f>
        <v>905</v>
      </c>
      <c r="Q95" s="18"/>
    </row>
    <row r="96" spans="1:17" ht="12.75" customHeight="1">
      <c r="A96" s="22" t="s">
        <v>17</v>
      </c>
      <c r="B96" s="29">
        <v>5122</v>
      </c>
      <c r="C96" s="34"/>
      <c r="D96" s="34"/>
      <c r="E96" s="30"/>
      <c r="F96" s="24">
        <f>SUM(B96:E96)</f>
        <v>5122</v>
      </c>
      <c r="G96" s="29">
        <f>1576+3546</f>
        <v>5122</v>
      </c>
      <c r="H96" s="34"/>
      <c r="I96" s="34"/>
      <c r="J96" s="34"/>
      <c r="K96" s="24">
        <f>SUM(G96:J96)</f>
        <v>5122</v>
      </c>
      <c r="L96" s="25">
        <f t="shared" si="45"/>
        <v>0</v>
      </c>
      <c r="M96" s="25">
        <f t="shared" si="45"/>
        <v>0</v>
      </c>
      <c r="N96" s="25"/>
      <c r="O96" s="25">
        <f>+E96-J96</f>
        <v>0</v>
      </c>
      <c r="P96" s="26">
        <f>SUM(L96:O96)</f>
        <v>0</v>
      </c>
      <c r="Q96" s="18"/>
    </row>
    <row r="97" spans="1:17" ht="12.75" customHeight="1">
      <c r="A97" s="22" t="s">
        <v>18</v>
      </c>
      <c r="B97" s="29">
        <v>1361</v>
      </c>
      <c r="C97" s="34"/>
      <c r="D97" s="34"/>
      <c r="E97" s="35"/>
      <c r="F97" s="24">
        <f>SUM(B97:E97)</f>
        <v>1361</v>
      </c>
      <c r="G97" s="29">
        <v>1352</v>
      </c>
      <c r="H97" s="34"/>
      <c r="I97" s="34"/>
      <c r="J97" s="34"/>
      <c r="K97" s="24">
        <f>SUM(G97:J97)</f>
        <v>1352</v>
      </c>
      <c r="L97" s="25">
        <f t="shared" si="45"/>
        <v>9</v>
      </c>
      <c r="M97" s="25">
        <f t="shared" si="45"/>
        <v>0</v>
      </c>
      <c r="N97" s="25"/>
      <c r="O97" s="25">
        <f>+E97-J97</f>
        <v>0</v>
      </c>
      <c r="P97" s="26">
        <f>SUM(L97:O97)</f>
        <v>9</v>
      </c>
      <c r="Q97" s="18"/>
    </row>
    <row r="98" spans="1:17" ht="12.75" customHeight="1">
      <c r="A98" s="22" t="s">
        <v>19</v>
      </c>
      <c r="B98" s="27">
        <f t="shared" ref="B98:K98" si="46">+B99+B100</f>
        <v>0</v>
      </c>
      <c r="C98" s="27">
        <f t="shared" si="46"/>
        <v>0</v>
      </c>
      <c r="D98" s="27">
        <f t="shared" si="46"/>
        <v>0</v>
      </c>
      <c r="E98" s="27">
        <f t="shared" si="46"/>
        <v>0</v>
      </c>
      <c r="F98" s="27">
        <f t="shared" si="46"/>
        <v>0</v>
      </c>
      <c r="G98" s="27">
        <f t="shared" si="46"/>
        <v>0</v>
      </c>
      <c r="H98" s="27">
        <f t="shared" si="46"/>
        <v>0</v>
      </c>
      <c r="I98" s="27">
        <f t="shared" si="46"/>
        <v>0</v>
      </c>
      <c r="J98" s="27">
        <f t="shared" si="46"/>
        <v>0</v>
      </c>
      <c r="K98" s="27">
        <f t="shared" si="46"/>
        <v>0</v>
      </c>
      <c r="L98" s="27">
        <f>+L99+L100</f>
        <v>0</v>
      </c>
      <c r="M98" s="27">
        <f>+M99+M100</f>
        <v>0</v>
      </c>
      <c r="N98" s="27"/>
      <c r="O98" s="27">
        <f>+O99+O100</f>
        <v>0</v>
      </c>
      <c r="P98" s="28">
        <f>+P99+P100</f>
        <v>0</v>
      </c>
      <c r="Q98" s="18"/>
    </row>
    <row r="99" spans="1:17" ht="12.75" customHeight="1">
      <c r="A99" s="22" t="s">
        <v>20</v>
      </c>
      <c r="B99" s="29"/>
      <c r="C99" s="29"/>
      <c r="D99" s="29"/>
      <c r="E99" s="30"/>
      <c r="F99" s="24">
        <f>SUM(B99:E99)</f>
        <v>0</v>
      </c>
      <c r="G99" s="29"/>
      <c r="H99" s="29"/>
      <c r="I99" s="29"/>
      <c r="J99" s="29"/>
      <c r="K99" s="24">
        <f>SUM(G99:J99)</f>
        <v>0</v>
      </c>
      <c r="L99" s="25">
        <f>+B99-G99</f>
        <v>0</v>
      </c>
      <c r="M99" s="25">
        <f>+C99-H99</f>
        <v>0</v>
      </c>
      <c r="N99" s="25"/>
      <c r="O99" s="25">
        <f>+E99-J99</f>
        <v>0</v>
      </c>
      <c r="P99" s="26">
        <f>SUM(L99:O99)</f>
        <v>0</v>
      </c>
      <c r="Q99" s="18"/>
    </row>
    <row r="100" spans="1:17" ht="12.75" customHeight="1">
      <c r="A100" s="22" t="s">
        <v>21</v>
      </c>
      <c r="B100" s="29"/>
      <c r="C100" s="29"/>
      <c r="D100" s="29"/>
      <c r="E100" s="30"/>
      <c r="F100" s="24">
        <f>SUM(B100:E100)</f>
        <v>0</v>
      </c>
      <c r="G100" s="29"/>
      <c r="H100" s="29"/>
      <c r="I100" s="29"/>
      <c r="J100" s="29"/>
      <c r="K100" s="24">
        <f>SUM(G100:J100)</f>
        <v>0</v>
      </c>
      <c r="L100" s="25">
        <f>+B100-G100</f>
        <v>0</v>
      </c>
      <c r="M100" s="25">
        <f>+C100-H100</f>
        <v>0</v>
      </c>
      <c r="N100" s="25"/>
      <c r="O100" s="25">
        <f>+E100-J100</f>
        <v>0</v>
      </c>
      <c r="P100" s="26">
        <f>SUM(L100:O100)</f>
        <v>0</v>
      </c>
      <c r="Q100" s="18"/>
    </row>
    <row r="101" spans="1:17" ht="12.75" customHeight="1">
      <c r="A101" s="57"/>
      <c r="B101" s="25"/>
      <c r="C101" s="25"/>
      <c r="D101" s="25"/>
      <c r="E101" s="43"/>
      <c r="F101" s="24"/>
      <c r="G101" s="47"/>
      <c r="H101" s="47"/>
      <c r="I101" s="47"/>
      <c r="J101" s="47"/>
      <c r="K101" s="32"/>
      <c r="L101" s="25"/>
      <c r="M101" s="25"/>
      <c r="N101" s="25"/>
      <c r="O101" s="25"/>
      <c r="P101" s="26"/>
      <c r="Q101" s="18"/>
    </row>
    <row r="102" spans="1:17" ht="25.5">
      <c r="A102" s="219" t="s">
        <v>121</v>
      </c>
      <c r="B102" s="17">
        <f t="shared" ref="B102:K102" si="47">+B103+B107</f>
        <v>467243</v>
      </c>
      <c r="C102" s="17">
        <f t="shared" si="47"/>
        <v>566716</v>
      </c>
      <c r="D102" s="17">
        <f t="shared" si="47"/>
        <v>0</v>
      </c>
      <c r="E102" s="17">
        <f t="shared" si="47"/>
        <v>848944</v>
      </c>
      <c r="F102" s="17">
        <f t="shared" si="47"/>
        <v>1882903</v>
      </c>
      <c r="G102" s="17">
        <f t="shared" si="47"/>
        <v>466582</v>
      </c>
      <c r="H102" s="17">
        <f t="shared" si="47"/>
        <v>317412</v>
      </c>
      <c r="I102" s="17">
        <f t="shared" si="47"/>
        <v>0</v>
      </c>
      <c r="J102" s="17">
        <f t="shared" si="47"/>
        <v>602604</v>
      </c>
      <c r="K102" s="17">
        <f t="shared" si="47"/>
        <v>1386598</v>
      </c>
      <c r="L102" s="17">
        <f>+L103+L107</f>
        <v>661</v>
      </c>
      <c r="M102" s="17">
        <f>+M103+M107</f>
        <v>249304</v>
      </c>
      <c r="N102" s="17"/>
      <c r="O102" s="17">
        <f>+O103+O107</f>
        <v>246340</v>
      </c>
      <c r="P102" s="17">
        <f>+P103+P107</f>
        <v>496305</v>
      </c>
      <c r="Q102" s="18">
        <f>+K102/F102</f>
        <v>0.73641499323119675</v>
      </c>
    </row>
    <row r="103" spans="1:17" ht="12.75" customHeight="1">
      <c r="A103" s="58" t="s">
        <v>15</v>
      </c>
      <c r="B103" s="20">
        <f t="shared" ref="B103:K103" si="48">+B104+B105+B106</f>
        <v>467243</v>
      </c>
      <c r="C103" s="20">
        <f t="shared" si="48"/>
        <v>488549</v>
      </c>
      <c r="D103" s="20">
        <f t="shared" si="48"/>
        <v>0</v>
      </c>
      <c r="E103" s="20">
        <f t="shared" si="48"/>
        <v>396504</v>
      </c>
      <c r="F103" s="20">
        <f t="shared" si="48"/>
        <v>1352296</v>
      </c>
      <c r="G103" s="20">
        <f t="shared" si="48"/>
        <v>466582</v>
      </c>
      <c r="H103" s="20">
        <f t="shared" si="48"/>
        <v>315350</v>
      </c>
      <c r="I103" s="20">
        <f t="shared" si="48"/>
        <v>0</v>
      </c>
      <c r="J103" s="20">
        <f t="shared" si="48"/>
        <v>150843</v>
      </c>
      <c r="K103" s="20">
        <f t="shared" si="48"/>
        <v>932775</v>
      </c>
      <c r="L103" s="20">
        <f>+L104+L105+L106</f>
        <v>661</v>
      </c>
      <c r="M103" s="20">
        <f>+M104+M105+M106</f>
        <v>173199</v>
      </c>
      <c r="N103" s="20"/>
      <c r="O103" s="20">
        <f>+O104+O105+O106</f>
        <v>245661</v>
      </c>
      <c r="P103" s="21">
        <f>+P104+P105+P106</f>
        <v>419521</v>
      </c>
      <c r="Q103" s="18"/>
    </row>
    <row r="104" spans="1:17" ht="12.75" customHeight="1">
      <c r="A104" s="22" t="s">
        <v>16</v>
      </c>
      <c r="B104" s="29">
        <v>345037</v>
      </c>
      <c r="C104" s="29">
        <v>487676</v>
      </c>
      <c r="D104" s="29"/>
      <c r="E104" s="30">
        <v>396504</v>
      </c>
      <c r="F104" s="24">
        <f>SUM(B104:E104)</f>
        <v>1229217</v>
      </c>
      <c r="G104" s="29">
        <v>345037</v>
      </c>
      <c r="H104" s="29">
        <v>314477</v>
      </c>
      <c r="I104" s="29"/>
      <c r="J104" s="29">
        <v>150843</v>
      </c>
      <c r="K104" s="24">
        <f>SUM(G104:J104)</f>
        <v>810357</v>
      </c>
      <c r="L104" s="25">
        <f t="shared" ref="L104:M106" si="49">+B104-G104</f>
        <v>0</v>
      </c>
      <c r="M104" s="25">
        <f t="shared" si="49"/>
        <v>173199</v>
      </c>
      <c r="N104" s="25"/>
      <c r="O104" s="25">
        <f>+E104-J104</f>
        <v>245661</v>
      </c>
      <c r="P104" s="26">
        <f>SUM(L104:O104)</f>
        <v>418860</v>
      </c>
      <c r="Q104" s="18"/>
    </row>
    <row r="105" spans="1:17" ht="12.75" customHeight="1">
      <c r="A105" s="22" t="s">
        <v>17</v>
      </c>
      <c r="B105" s="29">
        <v>95319</v>
      </c>
      <c r="C105" s="34"/>
      <c r="D105" s="34"/>
      <c r="E105" s="30"/>
      <c r="F105" s="24">
        <f>SUM(B105:E105)</f>
        <v>95319</v>
      </c>
      <c r="G105" s="29">
        <f>6244+89075</f>
        <v>95319</v>
      </c>
      <c r="H105" s="29">
        <f>873-873</f>
        <v>0</v>
      </c>
      <c r="I105" s="29"/>
      <c r="J105" s="34"/>
      <c r="K105" s="24">
        <f>SUM(G105:J105)</f>
        <v>95319</v>
      </c>
      <c r="L105" s="25">
        <f t="shared" si="49"/>
        <v>0</v>
      </c>
      <c r="M105" s="25">
        <f t="shared" si="49"/>
        <v>0</v>
      </c>
      <c r="N105" s="25"/>
      <c r="O105" s="25">
        <f>+E105-J105</f>
        <v>0</v>
      </c>
      <c r="P105" s="26">
        <f>SUM(L105:O105)</f>
        <v>0</v>
      </c>
      <c r="Q105" s="18"/>
    </row>
    <row r="106" spans="1:17" ht="12.75" customHeight="1">
      <c r="A106" s="22" t="s">
        <v>18</v>
      </c>
      <c r="B106" s="29">
        <v>26887</v>
      </c>
      <c r="C106" s="29">
        <v>873</v>
      </c>
      <c r="D106" s="29"/>
      <c r="E106" s="35"/>
      <c r="F106" s="24">
        <f>SUM(B106:E106)</f>
        <v>27760</v>
      </c>
      <c r="G106" s="29">
        <v>26226</v>
      </c>
      <c r="H106" s="29">
        <v>873</v>
      </c>
      <c r="I106" s="29"/>
      <c r="J106" s="34"/>
      <c r="K106" s="24">
        <f>SUM(G106:J106)</f>
        <v>27099</v>
      </c>
      <c r="L106" s="25">
        <f t="shared" si="49"/>
        <v>661</v>
      </c>
      <c r="M106" s="25">
        <f t="shared" si="49"/>
        <v>0</v>
      </c>
      <c r="N106" s="25"/>
      <c r="O106" s="25">
        <f>+E106-J106</f>
        <v>0</v>
      </c>
      <c r="P106" s="26">
        <f>SUM(L106:O106)</f>
        <v>661</v>
      </c>
      <c r="Q106" s="18"/>
    </row>
    <row r="107" spans="1:17" ht="12.75" customHeight="1">
      <c r="A107" s="22" t="s">
        <v>19</v>
      </c>
      <c r="B107" s="27">
        <f t="shared" ref="B107:K107" si="50">+B108+B109</f>
        <v>0</v>
      </c>
      <c r="C107" s="27">
        <f t="shared" si="50"/>
        <v>78167</v>
      </c>
      <c r="D107" s="27">
        <f t="shared" si="50"/>
        <v>0</v>
      </c>
      <c r="E107" s="27">
        <f t="shared" si="50"/>
        <v>452440</v>
      </c>
      <c r="F107" s="27">
        <f t="shared" si="50"/>
        <v>530607</v>
      </c>
      <c r="G107" s="27">
        <f t="shared" si="50"/>
        <v>0</v>
      </c>
      <c r="H107" s="27">
        <f t="shared" si="50"/>
        <v>2062</v>
      </c>
      <c r="I107" s="27">
        <f t="shared" si="50"/>
        <v>0</v>
      </c>
      <c r="J107" s="27">
        <f t="shared" si="50"/>
        <v>451761</v>
      </c>
      <c r="K107" s="27">
        <f t="shared" si="50"/>
        <v>453823</v>
      </c>
      <c r="L107" s="27">
        <f>+L108+L109</f>
        <v>0</v>
      </c>
      <c r="M107" s="27">
        <f>+M108+M109</f>
        <v>76105</v>
      </c>
      <c r="N107" s="27"/>
      <c r="O107" s="27">
        <f>+O108+O109</f>
        <v>679</v>
      </c>
      <c r="P107" s="28">
        <f>+P108+P109</f>
        <v>76784</v>
      </c>
      <c r="Q107" s="18"/>
    </row>
    <row r="108" spans="1:17" ht="12.75" customHeight="1">
      <c r="A108" s="22" t="s">
        <v>20</v>
      </c>
      <c r="B108" s="29"/>
      <c r="C108" s="29">
        <v>78167</v>
      </c>
      <c r="D108" s="29"/>
      <c r="E108" s="30">
        <v>452440</v>
      </c>
      <c r="F108" s="24">
        <f>SUM(B108:E108)</f>
        <v>530607</v>
      </c>
      <c r="G108" s="29"/>
      <c r="H108" s="29">
        <v>2062</v>
      </c>
      <c r="I108" s="29"/>
      <c r="J108" s="29">
        <v>451761</v>
      </c>
      <c r="K108" s="24">
        <f>SUM(G108:J108)</f>
        <v>453823</v>
      </c>
      <c r="L108" s="25">
        <f>+B108-G108</f>
        <v>0</v>
      </c>
      <c r="M108" s="25">
        <f>+C108-H108</f>
        <v>76105</v>
      </c>
      <c r="N108" s="25"/>
      <c r="O108" s="25">
        <f>+E108-J108</f>
        <v>679</v>
      </c>
      <c r="P108" s="26">
        <f>SUM(L108:O108)</f>
        <v>76784</v>
      </c>
      <c r="Q108" s="18"/>
    </row>
    <row r="109" spans="1:17" ht="12.75" customHeight="1">
      <c r="A109" s="22" t="s">
        <v>21</v>
      </c>
      <c r="B109" s="29"/>
      <c r="C109" s="29"/>
      <c r="D109" s="29"/>
      <c r="E109" s="30"/>
      <c r="F109" s="24">
        <f>SUM(B109:E109)</f>
        <v>0</v>
      </c>
      <c r="G109" s="29"/>
      <c r="H109" s="29"/>
      <c r="I109" s="29"/>
      <c r="J109" s="29"/>
      <c r="K109" s="24">
        <f>SUM(G109:J109)</f>
        <v>0</v>
      </c>
      <c r="L109" s="25">
        <f>+B109-G109</f>
        <v>0</v>
      </c>
      <c r="M109" s="25">
        <f>+C109-H109</f>
        <v>0</v>
      </c>
      <c r="N109" s="25"/>
      <c r="O109" s="25">
        <f>+E109-J109</f>
        <v>0</v>
      </c>
      <c r="P109" s="26">
        <f>SUM(L109:O109)</f>
        <v>0</v>
      </c>
      <c r="Q109" s="18"/>
    </row>
    <row r="110" spans="1:17" ht="12.75" customHeight="1">
      <c r="A110" s="221"/>
      <c r="B110" s="44"/>
      <c r="C110" s="44"/>
      <c r="D110" s="44"/>
      <c r="E110" s="45"/>
      <c r="F110" s="77"/>
      <c r="G110" s="84"/>
      <c r="H110" s="84"/>
      <c r="I110" s="84"/>
      <c r="J110" s="84"/>
      <c r="K110" s="82"/>
      <c r="L110" s="44"/>
      <c r="M110" s="44"/>
      <c r="N110" s="44"/>
      <c r="O110" s="44"/>
      <c r="P110" s="75"/>
      <c r="Q110" s="76"/>
    </row>
    <row r="111" spans="1:17" ht="51">
      <c r="A111" s="220" t="s">
        <v>122</v>
      </c>
      <c r="B111" s="17">
        <f t="shared" ref="B111:K111" si="51">+B112+B116</f>
        <v>149450</v>
      </c>
      <c r="C111" s="17">
        <f t="shared" si="51"/>
        <v>912969</v>
      </c>
      <c r="D111" s="17">
        <f t="shared" si="51"/>
        <v>0</v>
      </c>
      <c r="E111" s="17">
        <f t="shared" si="51"/>
        <v>21408</v>
      </c>
      <c r="F111" s="17">
        <f t="shared" si="51"/>
        <v>1083827</v>
      </c>
      <c r="G111" s="17">
        <f t="shared" si="51"/>
        <v>149416</v>
      </c>
      <c r="H111" s="17">
        <f t="shared" si="51"/>
        <v>911371</v>
      </c>
      <c r="I111" s="17">
        <f t="shared" si="51"/>
        <v>0</v>
      </c>
      <c r="J111" s="17">
        <f t="shared" si="51"/>
        <v>21404</v>
      </c>
      <c r="K111" s="17">
        <f t="shared" si="51"/>
        <v>1082191</v>
      </c>
      <c r="L111" s="17">
        <f>+L112+L116</f>
        <v>34</v>
      </c>
      <c r="M111" s="17">
        <f>+M112+M116</f>
        <v>1598</v>
      </c>
      <c r="N111" s="17"/>
      <c r="O111" s="17">
        <f>+O112+O116</f>
        <v>4</v>
      </c>
      <c r="P111" s="17">
        <f>+P112+P116</f>
        <v>1636</v>
      </c>
      <c r="Q111" s="18">
        <f>+K111/F111</f>
        <v>0.99849053400588839</v>
      </c>
    </row>
    <row r="112" spans="1:17" ht="12.75" customHeight="1">
      <c r="A112" s="58" t="s">
        <v>15</v>
      </c>
      <c r="B112" s="20">
        <f t="shared" ref="B112:K112" si="52">+B113+B114+B115</f>
        <v>149450</v>
      </c>
      <c r="C112" s="20">
        <f t="shared" si="52"/>
        <v>912969</v>
      </c>
      <c r="D112" s="20">
        <f t="shared" si="52"/>
        <v>0</v>
      </c>
      <c r="E112" s="20">
        <f t="shared" si="52"/>
        <v>21408</v>
      </c>
      <c r="F112" s="20">
        <f t="shared" si="52"/>
        <v>1083827</v>
      </c>
      <c r="G112" s="20">
        <f t="shared" si="52"/>
        <v>149416</v>
      </c>
      <c r="H112" s="20">
        <f t="shared" si="52"/>
        <v>911371</v>
      </c>
      <c r="I112" s="20">
        <f t="shared" si="52"/>
        <v>0</v>
      </c>
      <c r="J112" s="20">
        <f t="shared" si="52"/>
        <v>21404</v>
      </c>
      <c r="K112" s="20">
        <f t="shared" si="52"/>
        <v>1082191</v>
      </c>
      <c r="L112" s="20">
        <f>+L113+L114+L115</f>
        <v>34</v>
      </c>
      <c r="M112" s="20">
        <f>+M113+M114+M115</f>
        <v>1598</v>
      </c>
      <c r="N112" s="20"/>
      <c r="O112" s="20">
        <f>+O113+O114+O115</f>
        <v>4</v>
      </c>
      <c r="P112" s="21">
        <f>+P113+P114+P115</f>
        <v>1636</v>
      </c>
      <c r="Q112" s="18"/>
    </row>
    <row r="113" spans="1:17" ht="12.75" customHeight="1">
      <c r="A113" s="22" t="s">
        <v>16</v>
      </c>
      <c r="B113" s="29">
        <v>106216</v>
      </c>
      <c r="C113" s="29">
        <v>912969</v>
      </c>
      <c r="D113" s="29"/>
      <c r="E113" s="30">
        <v>21408</v>
      </c>
      <c r="F113" s="24">
        <f>SUM(B113:E113)</f>
        <v>1040593</v>
      </c>
      <c r="G113" s="29">
        <v>106189</v>
      </c>
      <c r="H113" s="29">
        <v>911371</v>
      </c>
      <c r="I113" s="29"/>
      <c r="J113" s="29">
        <v>21404</v>
      </c>
      <c r="K113" s="24">
        <f>SUM(G113:J113)</f>
        <v>1038964</v>
      </c>
      <c r="L113" s="25">
        <f t="shared" ref="L113:M115" si="53">+B113-G113</f>
        <v>27</v>
      </c>
      <c r="M113" s="25">
        <f t="shared" si="53"/>
        <v>1598</v>
      </c>
      <c r="N113" s="25"/>
      <c r="O113" s="25">
        <f>+E113-J113</f>
        <v>4</v>
      </c>
      <c r="P113" s="26">
        <f>SUM(L113:O113)</f>
        <v>1629</v>
      </c>
      <c r="Q113" s="18"/>
    </row>
    <row r="114" spans="1:17" ht="12.75" customHeight="1">
      <c r="A114" s="22" t="s">
        <v>17</v>
      </c>
      <c r="B114" s="29">
        <v>34437</v>
      </c>
      <c r="C114" s="34"/>
      <c r="D114" s="34"/>
      <c r="E114" s="30"/>
      <c r="F114" s="24">
        <f>SUM(B114:E114)</f>
        <v>34437</v>
      </c>
      <c r="G114" s="29">
        <f>9884+24546</f>
        <v>34430</v>
      </c>
      <c r="H114" s="34"/>
      <c r="I114" s="34"/>
      <c r="J114" s="34"/>
      <c r="K114" s="24">
        <f>SUM(G114:J114)</f>
        <v>34430</v>
      </c>
      <c r="L114" s="25">
        <f t="shared" si="53"/>
        <v>7</v>
      </c>
      <c r="M114" s="25">
        <f t="shared" si="53"/>
        <v>0</v>
      </c>
      <c r="N114" s="25"/>
      <c r="O114" s="25">
        <f>+E114-J114</f>
        <v>0</v>
      </c>
      <c r="P114" s="26">
        <f>SUM(L114:O114)</f>
        <v>7</v>
      </c>
      <c r="Q114" s="18"/>
    </row>
    <row r="115" spans="1:17" ht="12.75" customHeight="1">
      <c r="A115" s="22" t="s">
        <v>18</v>
      </c>
      <c r="B115" s="29">
        <v>8797</v>
      </c>
      <c r="C115" s="34"/>
      <c r="D115" s="34"/>
      <c r="E115" s="35"/>
      <c r="F115" s="24">
        <f>SUM(B115:E115)</f>
        <v>8797</v>
      </c>
      <c r="G115" s="29">
        <v>8797</v>
      </c>
      <c r="H115" s="34"/>
      <c r="I115" s="34"/>
      <c r="J115" s="34"/>
      <c r="K115" s="24">
        <f>SUM(G115:J115)</f>
        <v>8797</v>
      </c>
      <c r="L115" s="25">
        <f t="shared" si="53"/>
        <v>0</v>
      </c>
      <c r="M115" s="25">
        <f t="shared" si="53"/>
        <v>0</v>
      </c>
      <c r="N115" s="25"/>
      <c r="O115" s="25">
        <f>+E115-J115</f>
        <v>0</v>
      </c>
      <c r="P115" s="26">
        <f>SUM(L115:O115)</f>
        <v>0</v>
      </c>
      <c r="Q115" s="18"/>
    </row>
    <row r="116" spans="1:17" ht="12.75" customHeight="1">
      <c r="A116" s="22" t="s">
        <v>19</v>
      </c>
      <c r="B116" s="27">
        <f t="shared" ref="B116:K116" si="54">+B117+B118</f>
        <v>0</v>
      </c>
      <c r="C116" s="27">
        <f t="shared" si="54"/>
        <v>0</v>
      </c>
      <c r="D116" s="27">
        <f t="shared" si="54"/>
        <v>0</v>
      </c>
      <c r="E116" s="27">
        <f t="shared" si="54"/>
        <v>0</v>
      </c>
      <c r="F116" s="27">
        <f t="shared" si="54"/>
        <v>0</v>
      </c>
      <c r="G116" s="27">
        <f t="shared" si="54"/>
        <v>0</v>
      </c>
      <c r="H116" s="27">
        <f t="shared" si="54"/>
        <v>0</v>
      </c>
      <c r="I116" s="27">
        <f t="shared" si="54"/>
        <v>0</v>
      </c>
      <c r="J116" s="27">
        <f t="shared" si="54"/>
        <v>0</v>
      </c>
      <c r="K116" s="27">
        <f t="shared" si="54"/>
        <v>0</v>
      </c>
      <c r="L116" s="27">
        <f>+L117+L118</f>
        <v>0</v>
      </c>
      <c r="M116" s="27">
        <f>+M117+M118</f>
        <v>0</v>
      </c>
      <c r="N116" s="27"/>
      <c r="O116" s="27">
        <f>+O117+O118</f>
        <v>0</v>
      </c>
      <c r="P116" s="28">
        <f>+P117+P118</f>
        <v>0</v>
      </c>
      <c r="Q116" s="18"/>
    </row>
    <row r="117" spans="1:17" ht="12.75" customHeight="1">
      <c r="A117" s="22" t="s">
        <v>20</v>
      </c>
      <c r="B117" s="29"/>
      <c r="C117" s="29"/>
      <c r="D117" s="29"/>
      <c r="E117" s="30"/>
      <c r="F117" s="24">
        <f>SUM(B117:E117)</f>
        <v>0</v>
      </c>
      <c r="G117" s="29"/>
      <c r="H117" s="29"/>
      <c r="I117" s="29"/>
      <c r="J117" s="29"/>
      <c r="K117" s="24">
        <f>SUM(G117:J117)</f>
        <v>0</v>
      </c>
      <c r="L117" s="25">
        <f>+B117-G117</f>
        <v>0</v>
      </c>
      <c r="M117" s="25">
        <f>+C117-H117</f>
        <v>0</v>
      </c>
      <c r="N117" s="25"/>
      <c r="O117" s="25">
        <f>+E117-J117</f>
        <v>0</v>
      </c>
      <c r="P117" s="26">
        <f>SUM(L117:O117)</f>
        <v>0</v>
      </c>
      <c r="Q117" s="18"/>
    </row>
    <row r="118" spans="1:17" ht="12.75" customHeight="1">
      <c r="A118" s="22" t="s">
        <v>21</v>
      </c>
      <c r="B118" s="29"/>
      <c r="C118" s="29"/>
      <c r="D118" s="29"/>
      <c r="E118" s="30"/>
      <c r="F118" s="24">
        <f>SUM(B118:E118)</f>
        <v>0</v>
      </c>
      <c r="G118" s="29"/>
      <c r="H118" s="29"/>
      <c r="I118" s="29"/>
      <c r="J118" s="29"/>
      <c r="K118" s="24">
        <f>SUM(G118:J118)</f>
        <v>0</v>
      </c>
      <c r="L118" s="25">
        <f>+B118-G118</f>
        <v>0</v>
      </c>
      <c r="M118" s="25">
        <f>+C118-H118</f>
        <v>0</v>
      </c>
      <c r="N118" s="25"/>
      <c r="O118" s="25">
        <f>+E118-J118</f>
        <v>0</v>
      </c>
      <c r="P118" s="26">
        <f>SUM(L118:O118)</f>
        <v>0</v>
      </c>
      <c r="Q118" s="18"/>
    </row>
    <row r="119" spans="1:17" ht="12.75" customHeight="1">
      <c r="A119" s="57"/>
      <c r="B119" s="25"/>
      <c r="C119" s="25"/>
      <c r="D119" s="25"/>
      <c r="E119" s="43"/>
      <c r="F119" s="24"/>
      <c r="G119" s="25"/>
      <c r="H119" s="25"/>
      <c r="I119" s="25"/>
      <c r="J119" s="25"/>
      <c r="K119" s="24"/>
      <c r="L119" s="25"/>
      <c r="M119" s="25"/>
      <c r="N119" s="25"/>
      <c r="O119" s="25"/>
      <c r="P119" s="26"/>
      <c r="Q119" s="18"/>
    </row>
    <row r="120" spans="1:17" ht="25.5">
      <c r="A120" s="219" t="s">
        <v>123</v>
      </c>
      <c r="B120" s="17">
        <f t="shared" ref="B120:K120" si="55">+B121+B125</f>
        <v>35963</v>
      </c>
      <c r="C120" s="17">
        <f t="shared" si="55"/>
        <v>414123</v>
      </c>
      <c r="D120" s="17">
        <f t="shared" si="55"/>
        <v>0</v>
      </c>
      <c r="E120" s="17">
        <f t="shared" si="55"/>
        <v>500</v>
      </c>
      <c r="F120" s="17">
        <f t="shared" si="55"/>
        <v>450586</v>
      </c>
      <c r="G120" s="17">
        <f t="shared" si="55"/>
        <v>35825</v>
      </c>
      <c r="H120" s="17">
        <f t="shared" si="55"/>
        <v>410696</v>
      </c>
      <c r="I120" s="17">
        <f t="shared" si="55"/>
        <v>0</v>
      </c>
      <c r="J120" s="17">
        <f t="shared" si="55"/>
        <v>493</v>
      </c>
      <c r="K120" s="17">
        <f t="shared" si="55"/>
        <v>447014</v>
      </c>
      <c r="L120" s="17">
        <f>+L121+L125</f>
        <v>138</v>
      </c>
      <c r="M120" s="17">
        <f>+M121+M125</f>
        <v>3427</v>
      </c>
      <c r="N120" s="17"/>
      <c r="O120" s="17">
        <f>+O121+O125</f>
        <v>7</v>
      </c>
      <c r="P120" s="17">
        <f>+P121+P125</f>
        <v>3572</v>
      </c>
      <c r="Q120" s="18">
        <f>+K120/F120</f>
        <v>0.99207254552959923</v>
      </c>
    </row>
    <row r="121" spans="1:17" ht="12.75" customHeight="1">
      <c r="A121" s="58" t="s">
        <v>15</v>
      </c>
      <c r="B121" s="20">
        <f t="shared" ref="B121:K121" si="56">+B122+B123+B124</f>
        <v>35963</v>
      </c>
      <c r="C121" s="20">
        <f t="shared" si="56"/>
        <v>414123</v>
      </c>
      <c r="D121" s="20">
        <f t="shared" si="56"/>
        <v>0</v>
      </c>
      <c r="E121" s="20">
        <f t="shared" si="56"/>
        <v>500</v>
      </c>
      <c r="F121" s="20">
        <f t="shared" si="56"/>
        <v>450586</v>
      </c>
      <c r="G121" s="20">
        <f t="shared" si="56"/>
        <v>35825</v>
      </c>
      <c r="H121" s="20">
        <f t="shared" si="56"/>
        <v>410696</v>
      </c>
      <c r="I121" s="20">
        <f t="shared" si="56"/>
        <v>0</v>
      </c>
      <c r="J121" s="20">
        <f t="shared" si="56"/>
        <v>493</v>
      </c>
      <c r="K121" s="20">
        <f t="shared" si="56"/>
        <v>447014</v>
      </c>
      <c r="L121" s="20">
        <f>+L122+L123+L124</f>
        <v>138</v>
      </c>
      <c r="M121" s="20">
        <f>+M122+M123+M124</f>
        <v>3427</v>
      </c>
      <c r="N121" s="20"/>
      <c r="O121" s="20">
        <f>+O122+O123+O124</f>
        <v>7</v>
      </c>
      <c r="P121" s="21">
        <f>+P122+P123+P124</f>
        <v>3572</v>
      </c>
      <c r="Q121" s="18"/>
    </row>
    <row r="122" spans="1:17" ht="12.75" customHeight="1">
      <c r="A122" s="22" t="s">
        <v>16</v>
      </c>
      <c r="B122" s="29">
        <v>28348</v>
      </c>
      <c r="C122" s="29">
        <v>405359</v>
      </c>
      <c r="D122" s="29"/>
      <c r="E122" s="30">
        <v>500</v>
      </c>
      <c r="F122" s="24">
        <f>SUM(B122:E122)</f>
        <v>434207</v>
      </c>
      <c r="G122" s="29">
        <v>28318</v>
      </c>
      <c r="H122" s="29">
        <v>403618</v>
      </c>
      <c r="I122" s="29"/>
      <c r="J122" s="29">
        <v>493</v>
      </c>
      <c r="K122" s="24">
        <f>SUM(G122:J122)</f>
        <v>432429</v>
      </c>
      <c r="L122" s="25">
        <f t="shared" ref="L122:M124" si="57">+B122-G122</f>
        <v>30</v>
      </c>
      <c r="M122" s="25">
        <f t="shared" si="57"/>
        <v>1741</v>
      </c>
      <c r="N122" s="25"/>
      <c r="O122" s="25">
        <f>+E122-J122</f>
        <v>7</v>
      </c>
      <c r="P122" s="26">
        <f>SUM(L122:O122)</f>
        <v>1778</v>
      </c>
      <c r="Q122" s="18"/>
    </row>
    <row r="123" spans="1:17" ht="12.75" customHeight="1">
      <c r="A123" s="22" t="s">
        <v>17</v>
      </c>
      <c r="B123" s="29">
        <v>5208</v>
      </c>
      <c r="C123" s="29">
        <v>8764</v>
      </c>
      <c r="D123" s="29"/>
      <c r="E123" s="30"/>
      <c r="F123" s="24">
        <f>SUM(B123:E123)</f>
        <v>13972</v>
      </c>
      <c r="G123" s="29">
        <f>596+4612</f>
        <v>5208</v>
      </c>
      <c r="H123" s="29">
        <v>7078</v>
      </c>
      <c r="I123" s="29"/>
      <c r="J123" s="34"/>
      <c r="K123" s="24">
        <f>SUM(G123:J123)</f>
        <v>12286</v>
      </c>
      <c r="L123" s="25">
        <f t="shared" si="57"/>
        <v>0</v>
      </c>
      <c r="M123" s="25">
        <f t="shared" si="57"/>
        <v>1686</v>
      </c>
      <c r="N123" s="25"/>
      <c r="O123" s="25">
        <f>+E123-J123</f>
        <v>0</v>
      </c>
      <c r="P123" s="26">
        <f>SUM(L123:O123)</f>
        <v>1686</v>
      </c>
      <c r="Q123" s="18"/>
    </row>
    <row r="124" spans="1:17" ht="12.75" customHeight="1">
      <c r="A124" s="22" t="s">
        <v>18</v>
      </c>
      <c r="B124" s="29">
        <v>2407</v>
      </c>
      <c r="C124" s="34"/>
      <c r="D124" s="34"/>
      <c r="E124" s="35"/>
      <c r="F124" s="24">
        <f>SUM(B124:E124)</f>
        <v>2407</v>
      </c>
      <c r="G124" s="29">
        <v>2299</v>
      </c>
      <c r="H124" s="34"/>
      <c r="I124" s="34"/>
      <c r="J124" s="34"/>
      <c r="K124" s="24">
        <f>SUM(G124:J124)</f>
        <v>2299</v>
      </c>
      <c r="L124" s="25">
        <f t="shared" si="57"/>
        <v>108</v>
      </c>
      <c r="M124" s="25">
        <f t="shared" si="57"/>
        <v>0</v>
      </c>
      <c r="N124" s="25"/>
      <c r="O124" s="25">
        <f>+E124-J124</f>
        <v>0</v>
      </c>
      <c r="P124" s="26">
        <f>SUM(L124:O124)</f>
        <v>108</v>
      </c>
      <c r="Q124" s="18"/>
    </row>
    <row r="125" spans="1:17" ht="12.75" customHeight="1">
      <c r="A125" s="22" t="s">
        <v>19</v>
      </c>
      <c r="B125" s="27">
        <f t="shared" ref="B125:K125" si="58">+B126+B127</f>
        <v>0</v>
      </c>
      <c r="C125" s="27">
        <f t="shared" si="58"/>
        <v>0</v>
      </c>
      <c r="D125" s="27">
        <f t="shared" si="58"/>
        <v>0</v>
      </c>
      <c r="E125" s="27">
        <f t="shared" si="58"/>
        <v>0</v>
      </c>
      <c r="F125" s="27">
        <f t="shared" si="58"/>
        <v>0</v>
      </c>
      <c r="G125" s="27">
        <f t="shared" si="58"/>
        <v>0</v>
      </c>
      <c r="H125" s="27">
        <f t="shared" si="58"/>
        <v>0</v>
      </c>
      <c r="I125" s="27">
        <f t="shared" si="58"/>
        <v>0</v>
      </c>
      <c r="J125" s="27">
        <f t="shared" si="58"/>
        <v>0</v>
      </c>
      <c r="K125" s="27">
        <f t="shared" si="58"/>
        <v>0</v>
      </c>
      <c r="L125" s="27">
        <f>+L126+L127</f>
        <v>0</v>
      </c>
      <c r="M125" s="27">
        <f>+M126+M127</f>
        <v>0</v>
      </c>
      <c r="N125" s="27"/>
      <c r="O125" s="27">
        <f>+O126+O127</f>
        <v>0</v>
      </c>
      <c r="P125" s="28">
        <f>+P126+P127</f>
        <v>0</v>
      </c>
      <c r="Q125" s="18"/>
    </row>
    <row r="126" spans="1:17" ht="12.75" customHeight="1">
      <c r="A126" s="22" t="s">
        <v>20</v>
      </c>
      <c r="B126" s="29"/>
      <c r="C126" s="29"/>
      <c r="D126" s="29"/>
      <c r="E126" s="30"/>
      <c r="F126" s="24">
        <f>SUM(B126:E126)</f>
        <v>0</v>
      </c>
      <c r="G126" s="29"/>
      <c r="H126" s="29"/>
      <c r="I126" s="29"/>
      <c r="J126" s="29"/>
      <c r="K126" s="24">
        <f>SUM(G126:J126)</f>
        <v>0</v>
      </c>
      <c r="L126" s="25">
        <f>+B126-G126</f>
        <v>0</v>
      </c>
      <c r="M126" s="25">
        <f>+C126-H126</f>
        <v>0</v>
      </c>
      <c r="N126" s="25"/>
      <c r="O126" s="25">
        <f>+E126-J126</f>
        <v>0</v>
      </c>
      <c r="P126" s="26">
        <f>SUM(L126:O126)</f>
        <v>0</v>
      </c>
      <c r="Q126" s="18"/>
    </row>
    <row r="127" spans="1:17" ht="12.75" customHeight="1">
      <c r="A127" s="22" t="s">
        <v>21</v>
      </c>
      <c r="B127" s="29"/>
      <c r="C127" s="29"/>
      <c r="D127" s="29"/>
      <c r="E127" s="30"/>
      <c r="F127" s="24">
        <f>SUM(B127:E127)</f>
        <v>0</v>
      </c>
      <c r="G127" s="29"/>
      <c r="H127" s="29"/>
      <c r="I127" s="29"/>
      <c r="J127" s="29"/>
      <c r="K127" s="24">
        <f>SUM(G127:J127)</f>
        <v>0</v>
      </c>
      <c r="L127" s="25">
        <f>+B127-G127</f>
        <v>0</v>
      </c>
      <c r="M127" s="25">
        <f>+C127-H127</f>
        <v>0</v>
      </c>
      <c r="N127" s="25"/>
      <c r="O127" s="25">
        <f>+E127-J127</f>
        <v>0</v>
      </c>
      <c r="P127" s="26">
        <f>SUM(L127:O127)</f>
        <v>0</v>
      </c>
      <c r="Q127" s="18"/>
    </row>
    <row r="128" spans="1:17" ht="12.75" customHeight="1">
      <c r="A128" s="57"/>
      <c r="B128" s="25"/>
      <c r="C128" s="25"/>
      <c r="D128" s="25"/>
      <c r="E128" s="43"/>
      <c r="F128" s="24"/>
      <c r="G128" s="25"/>
      <c r="H128" s="25"/>
      <c r="I128" s="25"/>
      <c r="J128" s="25"/>
      <c r="K128" s="24"/>
      <c r="L128" s="25"/>
      <c r="M128" s="25"/>
      <c r="N128" s="25"/>
      <c r="O128" s="25"/>
      <c r="P128" s="26"/>
      <c r="Q128" s="18"/>
    </row>
    <row r="129" spans="1:17" ht="38.25">
      <c r="A129" s="219" t="s">
        <v>124</v>
      </c>
      <c r="B129" s="17">
        <f t="shared" ref="B129:K129" si="59">+B130+B134</f>
        <v>48759</v>
      </c>
      <c r="C129" s="17">
        <f t="shared" si="59"/>
        <v>495895</v>
      </c>
      <c r="D129" s="17">
        <f t="shared" si="59"/>
        <v>0</v>
      </c>
      <c r="E129" s="17">
        <f t="shared" si="59"/>
        <v>1700</v>
      </c>
      <c r="F129" s="17">
        <f t="shared" si="59"/>
        <v>546354</v>
      </c>
      <c r="G129" s="17">
        <f t="shared" si="59"/>
        <v>48654</v>
      </c>
      <c r="H129" s="17">
        <f t="shared" si="59"/>
        <v>493848</v>
      </c>
      <c r="I129" s="17">
        <f t="shared" si="59"/>
        <v>0</v>
      </c>
      <c r="J129" s="17">
        <f t="shared" si="59"/>
        <v>1700</v>
      </c>
      <c r="K129" s="17">
        <f t="shared" si="59"/>
        <v>544202</v>
      </c>
      <c r="L129" s="17">
        <f>+L130+L134</f>
        <v>105</v>
      </c>
      <c r="M129" s="17">
        <f>+M130+M134</f>
        <v>2047</v>
      </c>
      <c r="N129" s="17"/>
      <c r="O129" s="17">
        <f>+O130+O134</f>
        <v>0</v>
      </c>
      <c r="P129" s="17">
        <f>+P130+P134</f>
        <v>2152</v>
      </c>
      <c r="Q129" s="18">
        <f>+K129/F129</f>
        <v>0.99606116181084059</v>
      </c>
    </row>
    <row r="130" spans="1:17" ht="12.75" customHeight="1">
      <c r="A130" s="58" t="s">
        <v>15</v>
      </c>
      <c r="B130" s="20">
        <f t="shared" ref="B130:K130" si="60">+B131+B132+B133</f>
        <v>48759</v>
      </c>
      <c r="C130" s="20">
        <f t="shared" si="60"/>
        <v>495895</v>
      </c>
      <c r="D130" s="20">
        <f t="shared" si="60"/>
        <v>0</v>
      </c>
      <c r="E130" s="20">
        <f t="shared" si="60"/>
        <v>1700</v>
      </c>
      <c r="F130" s="20">
        <f t="shared" si="60"/>
        <v>546354</v>
      </c>
      <c r="G130" s="20">
        <f t="shared" si="60"/>
        <v>48654</v>
      </c>
      <c r="H130" s="20">
        <f t="shared" si="60"/>
        <v>493848</v>
      </c>
      <c r="I130" s="20">
        <f t="shared" si="60"/>
        <v>0</v>
      </c>
      <c r="J130" s="20">
        <f t="shared" si="60"/>
        <v>1700</v>
      </c>
      <c r="K130" s="20">
        <f t="shared" si="60"/>
        <v>544202</v>
      </c>
      <c r="L130" s="20">
        <f>+L131+L132+L133</f>
        <v>105</v>
      </c>
      <c r="M130" s="20">
        <f>+M131+M132+M133</f>
        <v>2047</v>
      </c>
      <c r="N130" s="20"/>
      <c r="O130" s="20">
        <f>+O131+O132+O133</f>
        <v>0</v>
      </c>
      <c r="P130" s="21">
        <f>+P131+P132+P133</f>
        <v>2152</v>
      </c>
      <c r="Q130" s="18"/>
    </row>
    <row r="131" spans="1:17" ht="12.75" customHeight="1">
      <c r="A131" s="22" t="s">
        <v>16</v>
      </c>
      <c r="B131" s="29">
        <v>36075</v>
      </c>
      <c r="C131" s="29">
        <v>495895</v>
      </c>
      <c r="D131" s="29"/>
      <c r="E131" s="30">
        <v>1700</v>
      </c>
      <c r="F131" s="24">
        <f>SUM(B131:E131)</f>
        <v>533670</v>
      </c>
      <c r="G131" s="29">
        <f>38989-2980</f>
        <v>36009</v>
      </c>
      <c r="H131" s="29">
        <v>493848</v>
      </c>
      <c r="I131" s="29"/>
      <c r="J131" s="29">
        <v>1700</v>
      </c>
      <c r="K131" s="24">
        <f>SUM(G131:J131)</f>
        <v>531557</v>
      </c>
      <c r="L131" s="25">
        <f t="shared" ref="L131:M133" si="61">+B131-G131</f>
        <v>66</v>
      </c>
      <c r="M131" s="25">
        <f t="shared" si="61"/>
        <v>2047</v>
      </c>
      <c r="N131" s="25"/>
      <c r="O131" s="25">
        <f>+E131-J131</f>
        <v>0</v>
      </c>
      <c r="P131" s="26">
        <f>SUM(L131:O131)</f>
        <v>2113</v>
      </c>
      <c r="Q131" s="18"/>
    </row>
    <row r="132" spans="1:17" ht="12.75" customHeight="1">
      <c r="A132" s="22" t="s">
        <v>17</v>
      </c>
      <c r="B132" s="29">
        <v>9667</v>
      </c>
      <c r="C132" s="34"/>
      <c r="D132" s="34"/>
      <c r="E132" s="30"/>
      <c r="F132" s="24">
        <f>SUM(B132:E132)</f>
        <v>9667</v>
      </c>
      <c r="G132" s="29">
        <v>9665</v>
      </c>
      <c r="H132" s="34"/>
      <c r="I132" s="34"/>
      <c r="J132" s="34"/>
      <c r="K132" s="24">
        <f>SUM(G132:J132)</f>
        <v>9665</v>
      </c>
      <c r="L132" s="25">
        <f t="shared" si="61"/>
        <v>2</v>
      </c>
      <c r="M132" s="25">
        <f t="shared" si="61"/>
        <v>0</v>
      </c>
      <c r="N132" s="25"/>
      <c r="O132" s="25">
        <f>+E132-J132</f>
        <v>0</v>
      </c>
      <c r="P132" s="26">
        <f>SUM(L132:O132)</f>
        <v>2</v>
      </c>
      <c r="Q132" s="18"/>
    </row>
    <row r="133" spans="1:17" ht="12.75" customHeight="1">
      <c r="A133" s="22" t="s">
        <v>18</v>
      </c>
      <c r="B133" s="29">
        <v>3017</v>
      </c>
      <c r="C133" s="34"/>
      <c r="D133" s="34"/>
      <c r="E133" s="35"/>
      <c r="F133" s="24">
        <f>SUM(B133:E133)</f>
        <v>3017</v>
      </c>
      <c r="G133" s="29">
        <v>2980</v>
      </c>
      <c r="H133" s="34"/>
      <c r="I133" s="34"/>
      <c r="J133" s="34"/>
      <c r="K133" s="24">
        <f>SUM(G133:J133)</f>
        <v>2980</v>
      </c>
      <c r="L133" s="25">
        <f t="shared" si="61"/>
        <v>37</v>
      </c>
      <c r="M133" s="25">
        <f t="shared" si="61"/>
        <v>0</v>
      </c>
      <c r="N133" s="25"/>
      <c r="O133" s="25">
        <f>+E133-J133</f>
        <v>0</v>
      </c>
      <c r="P133" s="26">
        <f>SUM(L133:O133)</f>
        <v>37</v>
      </c>
      <c r="Q133" s="18"/>
    </row>
    <row r="134" spans="1:17" ht="12.75" customHeight="1">
      <c r="A134" s="22" t="s">
        <v>19</v>
      </c>
      <c r="B134" s="27">
        <f t="shared" ref="B134:K134" si="62">+B135+B136</f>
        <v>0</v>
      </c>
      <c r="C134" s="27">
        <f t="shared" si="62"/>
        <v>0</v>
      </c>
      <c r="D134" s="27">
        <f t="shared" si="62"/>
        <v>0</v>
      </c>
      <c r="E134" s="27">
        <f t="shared" si="62"/>
        <v>0</v>
      </c>
      <c r="F134" s="27">
        <f t="shared" si="62"/>
        <v>0</v>
      </c>
      <c r="G134" s="27">
        <f t="shared" si="62"/>
        <v>0</v>
      </c>
      <c r="H134" s="27">
        <f t="shared" si="62"/>
        <v>0</v>
      </c>
      <c r="I134" s="27">
        <f t="shared" si="62"/>
        <v>0</v>
      </c>
      <c r="J134" s="27">
        <f t="shared" si="62"/>
        <v>0</v>
      </c>
      <c r="K134" s="27">
        <f t="shared" si="62"/>
        <v>0</v>
      </c>
      <c r="L134" s="27">
        <f>+L135+L136</f>
        <v>0</v>
      </c>
      <c r="M134" s="27">
        <f>+M135+M136</f>
        <v>0</v>
      </c>
      <c r="N134" s="27"/>
      <c r="O134" s="27">
        <f>+O135+O136</f>
        <v>0</v>
      </c>
      <c r="P134" s="28">
        <f>+P135+P136</f>
        <v>0</v>
      </c>
      <c r="Q134" s="18"/>
    </row>
    <row r="135" spans="1:17" ht="12.75" customHeight="1">
      <c r="A135" s="22" t="s">
        <v>20</v>
      </c>
      <c r="B135" s="29"/>
      <c r="C135" s="29"/>
      <c r="D135" s="29"/>
      <c r="E135" s="30"/>
      <c r="F135" s="24">
        <f>SUM(B135:E135)</f>
        <v>0</v>
      </c>
      <c r="G135" s="29"/>
      <c r="H135" s="29"/>
      <c r="I135" s="29"/>
      <c r="J135" s="29"/>
      <c r="K135" s="24">
        <f>SUM(G135:J135)</f>
        <v>0</v>
      </c>
      <c r="L135" s="25">
        <f>+B135-G135</f>
        <v>0</v>
      </c>
      <c r="M135" s="25">
        <f>+C135-H135</f>
        <v>0</v>
      </c>
      <c r="N135" s="25"/>
      <c r="O135" s="25">
        <f>+E135-J135</f>
        <v>0</v>
      </c>
      <c r="P135" s="26">
        <f>SUM(L135:O135)</f>
        <v>0</v>
      </c>
      <c r="Q135" s="18"/>
    </row>
    <row r="136" spans="1:17" ht="12.75" customHeight="1">
      <c r="A136" s="22" t="s">
        <v>21</v>
      </c>
      <c r="B136" s="29"/>
      <c r="C136" s="29"/>
      <c r="D136" s="29"/>
      <c r="E136" s="30"/>
      <c r="F136" s="24">
        <f>SUM(B136:E136)</f>
        <v>0</v>
      </c>
      <c r="G136" s="29"/>
      <c r="H136" s="29"/>
      <c r="I136" s="29"/>
      <c r="J136" s="29"/>
      <c r="K136" s="24">
        <f>SUM(G136:J136)</f>
        <v>0</v>
      </c>
      <c r="L136" s="25">
        <f>+B136-G136</f>
        <v>0</v>
      </c>
      <c r="M136" s="25">
        <f>+C136-H136</f>
        <v>0</v>
      </c>
      <c r="N136" s="25"/>
      <c r="O136" s="25">
        <f>+E136-J136</f>
        <v>0</v>
      </c>
      <c r="P136" s="26">
        <f>SUM(L136:O136)</f>
        <v>0</v>
      </c>
      <c r="Q136" s="18"/>
    </row>
    <row r="137" spans="1:17" ht="12.75" customHeight="1">
      <c r="A137" s="57"/>
      <c r="B137" s="25"/>
      <c r="C137" s="25"/>
      <c r="D137" s="25"/>
      <c r="E137" s="43"/>
      <c r="F137" s="24"/>
      <c r="G137" s="47"/>
      <c r="H137" s="47"/>
      <c r="I137" s="47"/>
      <c r="J137" s="47"/>
      <c r="K137" s="32"/>
      <c r="L137" s="25"/>
      <c r="M137" s="25"/>
      <c r="N137" s="25"/>
      <c r="O137" s="25"/>
      <c r="P137" s="26"/>
      <c r="Q137" s="18"/>
    </row>
    <row r="138" spans="1:17" ht="12.75" customHeight="1">
      <c r="A138" s="218" t="s">
        <v>125</v>
      </c>
      <c r="B138" s="17">
        <f t="shared" ref="B138:K138" si="63">+B139+B143</f>
        <v>142711</v>
      </c>
      <c r="C138" s="17">
        <f t="shared" si="63"/>
        <v>133822</v>
      </c>
      <c r="D138" s="17">
        <f t="shared" si="63"/>
        <v>0</v>
      </c>
      <c r="E138" s="17">
        <f t="shared" si="63"/>
        <v>91612</v>
      </c>
      <c r="F138" s="17">
        <f t="shared" si="63"/>
        <v>368145</v>
      </c>
      <c r="G138" s="17">
        <f t="shared" si="63"/>
        <v>142312</v>
      </c>
      <c r="H138" s="17">
        <f t="shared" si="63"/>
        <v>93252</v>
      </c>
      <c r="I138" s="17">
        <f t="shared" si="63"/>
        <v>0</v>
      </c>
      <c r="J138" s="17">
        <f t="shared" si="63"/>
        <v>70524</v>
      </c>
      <c r="K138" s="17">
        <f t="shared" si="63"/>
        <v>306088</v>
      </c>
      <c r="L138" s="17">
        <f>+L139+L143</f>
        <v>399</v>
      </c>
      <c r="M138" s="17">
        <f>+M139+M143</f>
        <v>40570</v>
      </c>
      <c r="N138" s="17"/>
      <c r="O138" s="17">
        <f>+O139+O143</f>
        <v>21088</v>
      </c>
      <c r="P138" s="17">
        <f>+P139+P143</f>
        <v>62057</v>
      </c>
      <c r="Q138" s="18">
        <f>+K138/F138</f>
        <v>0.83143326678346852</v>
      </c>
    </row>
    <row r="139" spans="1:17" ht="12.75" customHeight="1">
      <c r="A139" s="58" t="s">
        <v>15</v>
      </c>
      <c r="B139" s="20">
        <f t="shared" ref="B139:K139" si="64">+B140+B141+B142</f>
        <v>142711</v>
      </c>
      <c r="C139" s="20">
        <f t="shared" si="64"/>
        <v>125349</v>
      </c>
      <c r="D139" s="20">
        <f t="shared" si="64"/>
        <v>0</v>
      </c>
      <c r="E139" s="20">
        <f t="shared" si="64"/>
        <v>81635</v>
      </c>
      <c r="F139" s="20">
        <f t="shared" si="64"/>
        <v>349695</v>
      </c>
      <c r="G139" s="20">
        <f t="shared" si="64"/>
        <v>142312</v>
      </c>
      <c r="H139" s="20">
        <f t="shared" si="64"/>
        <v>84995</v>
      </c>
      <c r="I139" s="20">
        <f t="shared" si="64"/>
        <v>0</v>
      </c>
      <c r="J139" s="20">
        <f t="shared" si="64"/>
        <v>60677</v>
      </c>
      <c r="K139" s="20">
        <f t="shared" si="64"/>
        <v>287984</v>
      </c>
      <c r="L139" s="20">
        <f>+L140+L141+L142</f>
        <v>399</v>
      </c>
      <c r="M139" s="20">
        <f>+M140+M141+M142</f>
        <v>40354</v>
      </c>
      <c r="N139" s="20"/>
      <c r="O139" s="20">
        <f>+O140+O141+O142</f>
        <v>20958</v>
      </c>
      <c r="P139" s="21">
        <f>+P140+P141+P142</f>
        <v>61711</v>
      </c>
      <c r="Q139" s="18"/>
    </row>
    <row r="140" spans="1:17" ht="12.75" customHeight="1">
      <c r="A140" s="22" t="s">
        <v>16</v>
      </c>
      <c r="B140" s="29">
        <v>81898</v>
      </c>
      <c r="C140" s="29">
        <v>117134</v>
      </c>
      <c r="D140" s="29"/>
      <c r="E140" s="30">
        <v>81635</v>
      </c>
      <c r="F140" s="24">
        <f>SUM(B140:E140)</f>
        <v>280667</v>
      </c>
      <c r="G140" s="29">
        <v>81521</v>
      </c>
      <c r="H140" s="29">
        <f>76097+683</f>
        <v>76780</v>
      </c>
      <c r="I140" s="29"/>
      <c r="J140" s="29">
        <v>60677</v>
      </c>
      <c r="K140" s="24">
        <f>SUM(G140:J140)</f>
        <v>218978</v>
      </c>
      <c r="L140" s="25">
        <f t="shared" ref="L140:M142" si="65">+B140-G140</f>
        <v>377</v>
      </c>
      <c r="M140" s="25">
        <f t="shared" si="65"/>
        <v>40354</v>
      </c>
      <c r="N140" s="25"/>
      <c r="O140" s="25">
        <f>+E140-J140</f>
        <v>20958</v>
      </c>
      <c r="P140" s="26">
        <f>SUM(L140:O140)</f>
        <v>61689</v>
      </c>
      <c r="Q140" s="18"/>
    </row>
    <row r="141" spans="1:17" ht="12.75" customHeight="1">
      <c r="A141" s="22" t="s">
        <v>17</v>
      </c>
      <c r="B141" s="29">
        <v>54248</v>
      </c>
      <c r="C141" s="29">
        <v>8215</v>
      </c>
      <c r="D141" s="29"/>
      <c r="E141" s="30"/>
      <c r="F141" s="24">
        <f>SUM(B141:E141)</f>
        <v>62463</v>
      </c>
      <c r="G141" s="29">
        <f>26550+27676</f>
        <v>54226</v>
      </c>
      <c r="H141" s="29">
        <f>8898-683</f>
        <v>8215</v>
      </c>
      <c r="I141" s="29"/>
      <c r="J141" s="34"/>
      <c r="K141" s="24">
        <f>SUM(G141:J141)</f>
        <v>62441</v>
      </c>
      <c r="L141" s="25">
        <f t="shared" si="65"/>
        <v>22</v>
      </c>
      <c r="M141" s="25">
        <f t="shared" si="65"/>
        <v>0</v>
      </c>
      <c r="N141" s="25"/>
      <c r="O141" s="25">
        <f>+E141-J141</f>
        <v>0</v>
      </c>
      <c r="P141" s="26">
        <f>SUM(L141:O141)</f>
        <v>22</v>
      </c>
      <c r="Q141" s="18"/>
    </row>
    <row r="142" spans="1:17" ht="12.75" customHeight="1">
      <c r="A142" s="22" t="s">
        <v>18</v>
      </c>
      <c r="B142" s="29">
        <v>6565</v>
      </c>
      <c r="C142" s="29"/>
      <c r="D142" s="29"/>
      <c r="E142" s="35"/>
      <c r="F142" s="24">
        <f>SUM(B142:E142)</f>
        <v>6565</v>
      </c>
      <c r="G142" s="29">
        <v>6565</v>
      </c>
      <c r="H142" s="29"/>
      <c r="I142" s="29"/>
      <c r="J142" s="34"/>
      <c r="K142" s="24">
        <f>SUM(G142:J142)</f>
        <v>6565</v>
      </c>
      <c r="L142" s="25">
        <f t="shared" si="65"/>
        <v>0</v>
      </c>
      <c r="M142" s="25">
        <f t="shared" si="65"/>
        <v>0</v>
      </c>
      <c r="N142" s="25"/>
      <c r="O142" s="25">
        <f>+E142-J142</f>
        <v>0</v>
      </c>
      <c r="P142" s="26">
        <f>SUM(L142:O142)</f>
        <v>0</v>
      </c>
      <c r="Q142" s="18"/>
    </row>
    <row r="143" spans="1:17" ht="12.75" customHeight="1">
      <c r="A143" s="22" t="s">
        <v>19</v>
      </c>
      <c r="B143" s="27">
        <f t="shared" ref="B143:K143" si="66">+B144+B145</f>
        <v>0</v>
      </c>
      <c r="C143" s="27">
        <f t="shared" si="66"/>
        <v>8473</v>
      </c>
      <c r="D143" s="27">
        <f t="shared" si="66"/>
        <v>0</v>
      </c>
      <c r="E143" s="27">
        <f t="shared" si="66"/>
        <v>9977</v>
      </c>
      <c r="F143" s="27">
        <f t="shared" si="66"/>
        <v>18450</v>
      </c>
      <c r="G143" s="27">
        <f t="shared" si="66"/>
        <v>0</v>
      </c>
      <c r="H143" s="27">
        <f t="shared" si="66"/>
        <v>8257</v>
      </c>
      <c r="I143" s="27">
        <f t="shared" si="66"/>
        <v>0</v>
      </c>
      <c r="J143" s="27">
        <f t="shared" si="66"/>
        <v>9847</v>
      </c>
      <c r="K143" s="27">
        <f t="shared" si="66"/>
        <v>18104</v>
      </c>
      <c r="L143" s="27">
        <f>+L144+L145</f>
        <v>0</v>
      </c>
      <c r="M143" s="27">
        <f>+M144+M145</f>
        <v>216</v>
      </c>
      <c r="N143" s="27"/>
      <c r="O143" s="27">
        <f>+O144+O145</f>
        <v>130</v>
      </c>
      <c r="P143" s="28">
        <f>+P144+P145</f>
        <v>346</v>
      </c>
      <c r="Q143" s="18"/>
    </row>
    <row r="144" spans="1:17" ht="12.75" customHeight="1">
      <c r="A144" s="22" t="s">
        <v>20</v>
      </c>
      <c r="B144" s="29"/>
      <c r="C144" s="29">
        <v>8473</v>
      </c>
      <c r="D144" s="29"/>
      <c r="E144" s="30">
        <v>9977</v>
      </c>
      <c r="F144" s="24">
        <f>SUM(B144:E144)</f>
        <v>18450</v>
      </c>
      <c r="G144" s="29"/>
      <c r="H144" s="29">
        <v>8257</v>
      </c>
      <c r="I144" s="29"/>
      <c r="J144" s="29">
        <v>9847</v>
      </c>
      <c r="K144" s="24">
        <f>SUM(G144:J144)</f>
        <v>18104</v>
      </c>
      <c r="L144" s="25">
        <f>+B144-G144</f>
        <v>0</v>
      </c>
      <c r="M144" s="25">
        <f>+C144-H144</f>
        <v>216</v>
      </c>
      <c r="N144" s="25"/>
      <c r="O144" s="25">
        <f>+E144-J144</f>
        <v>130</v>
      </c>
      <c r="P144" s="26">
        <f>SUM(L144:O144)</f>
        <v>346</v>
      </c>
      <c r="Q144" s="18"/>
    </row>
    <row r="145" spans="1:17" ht="12.75" customHeight="1">
      <c r="A145" s="22" t="s">
        <v>21</v>
      </c>
      <c r="B145" s="29"/>
      <c r="C145" s="29"/>
      <c r="D145" s="29"/>
      <c r="E145" s="30"/>
      <c r="F145" s="24">
        <f>SUM(B145:E145)</f>
        <v>0</v>
      </c>
      <c r="G145" s="29"/>
      <c r="H145" s="29"/>
      <c r="I145" s="29"/>
      <c r="J145" s="29"/>
      <c r="K145" s="24">
        <f>SUM(G145:J145)</f>
        <v>0</v>
      </c>
      <c r="L145" s="25">
        <f>+B145-G145</f>
        <v>0</v>
      </c>
      <c r="M145" s="25">
        <f>+C145-H145</f>
        <v>0</v>
      </c>
      <c r="N145" s="25"/>
      <c r="O145" s="25">
        <f>+E145-J145</f>
        <v>0</v>
      </c>
      <c r="P145" s="26">
        <f>SUM(L145:O145)</f>
        <v>0</v>
      </c>
      <c r="Q145" s="18"/>
    </row>
    <row r="146" spans="1:17" ht="12.75" customHeight="1">
      <c r="A146" s="57"/>
      <c r="B146" s="25"/>
      <c r="C146" s="25"/>
      <c r="D146" s="25"/>
      <c r="E146" s="43"/>
      <c r="F146" s="24"/>
      <c r="G146" s="47"/>
      <c r="H146" s="47"/>
      <c r="I146" s="47"/>
      <c r="J146" s="47"/>
      <c r="K146" s="32"/>
      <c r="L146" s="25"/>
      <c r="M146" s="25"/>
      <c r="N146" s="25"/>
      <c r="O146" s="25"/>
      <c r="P146" s="26"/>
      <c r="Q146" s="18"/>
    </row>
    <row r="147" spans="1:17" ht="12.75" customHeight="1">
      <c r="A147" s="57" t="s">
        <v>126</v>
      </c>
      <c r="B147" s="17">
        <f t="shared" ref="B147:K147" si="67">+B148+B152</f>
        <v>138194</v>
      </c>
      <c r="C147" s="17">
        <f t="shared" si="67"/>
        <v>67302</v>
      </c>
      <c r="D147" s="17">
        <f t="shared" si="67"/>
        <v>0</v>
      </c>
      <c r="E147" s="17">
        <f t="shared" si="67"/>
        <v>63367</v>
      </c>
      <c r="F147" s="17">
        <f t="shared" si="67"/>
        <v>268863</v>
      </c>
      <c r="G147" s="17">
        <f t="shared" si="67"/>
        <v>137845</v>
      </c>
      <c r="H147" s="17">
        <f t="shared" si="67"/>
        <v>54686</v>
      </c>
      <c r="I147" s="17">
        <f t="shared" si="67"/>
        <v>0</v>
      </c>
      <c r="J147" s="17">
        <f t="shared" si="67"/>
        <v>62522</v>
      </c>
      <c r="K147" s="17">
        <f t="shared" si="67"/>
        <v>255053</v>
      </c>
      <c r="L147" s="17">
        <f>+L148+L152</f>
        <v>349</v>
      </c>
      <c r="M147" s="17">
        <f>+M148+M152</f>
        <v>12616</v>
      </c>
      <c r="N147" s="17"/>
      <c r="O147" s="17">
        <f>+O148+O152</f>
        <v>845</v>
      </c>
      <c r="P147" s="17">
        <f>+P148+P152</f>
        <v>13810</v>
      </c>
      <c r="Q147" s="18">
        <f>+K147/F147</f>
        <v>0.94863555044762571</v>
      </c>
    </row>
    <row r="148" spans="1:17" ht="12.75" customHeight="1">
      <c r="A148" s="58" t="s">
        <v>15</v>
      </c>
      <c r="B148" s="20">
        <f t="shared" ref="B148:K148" si="68">+B149+B150+B151</f>
        <v>138194</v>
      </c>
      <c r="C148" s="20">
        <f t="shared" si="68"/>
        <v>63685</v>
      </c>
      <c r="D148" s="20">
        <f t="shared" si="68"/>
        <v>0</v>
      </c>
      <c r="E148" s="20">
        <f t="shared" si="68"/>
        <v>63009</v>
      </c>
      <c r="F148" s="20">
        <f t="shared" si="68"/>
        <v>264888</v>
      </c>
      <c r="G148" s="20">
        <f t="shared" si="68"/>
        <v>137845</v>
      </c>
      <c r="H148" s="20">
        <f t="shared" si="68"/>
        <v>54686</v>
      </c>
      <c r="I148" s="20">
        <f t="shared" si="68"/>
        <v>0</v>
      </c>
      <c r="J148" s="20">
        <f t="shared" si="68"/>
        <v>62166</v>
      </c>
      <c r="K148" s="20">
        <f t="shared" si="68"/>
        <v>254697</v>
      </c>
      <c r="L148" s="20">
        <f>+L149+L150+L151</f>
        <v>349</v>
      </c>
      <c r="M148" s="20">
        <f>+M149+M150+M151</f>
        <v>8999</v>
      </c>
      <c r="N148" s="20"/>
      <c r="O148" s="20">
        <f>+O149+O150+O151</f>
        <v>843</v>
      </c>
      <c r="P148" s="21">
        <f>+P149+P150+P151</f>
        <v>10191</v>
      </c>
      <c r="Q148" s="18"/>
    </row>
    <row r="149" spans="1:17" ht="12.75" customHeight="1">
      <c r="A149" s="22" t="s">
        <v>16</v>
      </c>
      <c r="B149" s="29">
        <v>99143</v>
      </c>
      <c r="C149" s="29">
        <v>59715</v>
      </c>
      <c r="D149" s="29"/>
      <c r="E149" s="30">
        <v>62933</v>
      </c>
      <c r="F149" s="24">
        <f>SUM(B149:E149)</f>
        <v>221791</v>
      </c>
      <c r="G149" s="29">
        <v>99143</v>
      </c>
      <c r="H149" s="29">
        <v>54686</v>
      </c>
      <c r="I149" s="29"/>
      <c r="J149" s="29">
        <v>62166</v>
      </c>
      <c r="K149" s="24">
        <f>SUM(G149:J149)</f>
        <v>215995</v>
      </c>
      <c r="L149" s="25">
        <f t="shared" ref="L149:M151" si="69">+B149-G149</f>
        <v>0</v>
      </c>
      <c r="M149" s="25">
        <f t="shared" si="69"/>
        <v>5029</v>
      </c>
      <c r="N149" s="25"/>
      <c r="O149" s="25">
        <f>+E149-J149</f>
        <v>767</v>
      </c>
      <c r="P149" s="26">
        <f>SUM(L149:O149)</f>
        <v>5796</v>
      </c>
      <c r="Q149" s="18"/>
    </row>
    <row r="150" spans="1:17" ht="12.75" customHeight="1">
      <c r="A150" s="22" t="s">
        <v>17</v>
      </c>
      <c r="B150" s="29">
        <v>30913</v>
      </c>
      <c r="C150" s="29"/>
      <c r="D150" s="29"/>
      <c r="E150" s="30"/>
      <c r="F150" s="24">
        <f>SUM(B150:E150)</f>
        <v>30913</v>
      </c>
      <c r="G150" s="29">
        <f>1716+29197</f>
        <v>30913</v>
      </c>
      <c r="H150" s="34"/>
      <c r="I150" s="34"/>
      <c r="J150" s="34"/>
      <c r="K150" s="24">
        <f>SUM(G150:J150)</f>
        <v>30913</v>
      </c>
      <c r="L150" s="25">
        <f t="shared" si="69"/>
        <v>0</v>
      </c>
      <c r="M150" s="25">
        <f t="shared" si="69"/>
        <v>0</v>
      </c>
      <c r="N150" s="25"/>
      <c r="O150" s="25">
        <f>+E150-J150</f>
        <v>0</v>
      </c>
      <c r="P150" s="26">
        <f>SUM(L150:O150)</f>
        <v>0</v>
      </c>
      <c r="Q150" s="18"/>
    </row>
    <row r="151" spans="1:17" ht="12.75" customHeight="1">
      <c r="A151" s="22" t="s">
        <v>18</v>
      </c>
      <c r="B151" s="29">
        <v>8138</v>
      </c>
      <c r="C151" s="29">
        <v>3970</v>
      </c>
      <c r="D151" s="29"/>
      <c r="E151" s="30">
        <v>76</v>
      </c>
      <c r="F151" s="24">
        <f>SUM(B151:E151)</f>
        <v>12184</v>
      </c>
      <c r="G151" s="29">
        <v>7789</v>
      </c>
      <c r="H151" s="29"/>
      <c r="I151" s="29"/>
      <c r="J151" s="29"/>
      <c r="K151" s="24">
        <f>SUM(G151:J151)</f>
        <v>7789</v>
      </c>
      <c r="L151" s="25">
        <f t="shared" si="69"/>
        <v>349</v>
      </c>
      <c r="M151" s="25">
        <f t="shared" si="69"/>
        <v>3970</v>
      </c>
      <c r="N151" s="25"/>
      <c r="O151" s="25">
        <f>+E151-J151</f>
        <v>76</v>
      </c>
      <c r="P151" s="26">
        <f>SUM(L151:O151)</f>
        <v>4395</v>
      </c>
      <c r="Q151" s="18"/>
    </row>
    <row r="152" spans="1:17" ht="12.75" customHeight="1">
      <c r="A152" s="22" t="s">
        <v>19</v>
      </c>
      <c r="B152" s="27">
        <f t="shared" ref="B152:K152" si="70">+B153+B154</f>
        <v>0</v>
      </c>
      <c r="C152" s="27">
        <f t="shared" si="70"/>
        <v>3617</v>
      </c>
      <c r="D152" s="27">
        <f t="shared" si="70"/>
        <v>0</v>
      </c>
      <c r="E152" s="27">
        <f t="shared" si="70"/>
        <v>358</v>
      </c>
      <c r="F152" s="27">
        <f t="shared" si="70"/>
        <v>3975</v>
      </c>
      <c r="G152" s="27">
        <f t="shared" si="70"/>
        <v>0</v>
      </c>
      <c r="H152" s="27">
        <f t="shared" si="70"/>
        <v>0</v>
      </c>
      <c r="I152" s="27">
        <f t="shared" si="70"/>
        <v>0</v>
      </c>
      <c r="J152" s="27">
        <f t="shared" si="70"/>
        <v>356</v>
      </c>
      <c r="K152" s="27">
        <f t="shared" si="70"/>
        <v>356</v>
      </c>
      <c r="L152" s="27">
        <f>+L153+L154</f>
        <v>0</v>
      </c>
      <c r="M152" s="27">
        <f>+M153+M154</f>
        <v>3617</v>
      </c>
      <c r="N152" s="27"/>
      <c r="O152" s="27">
        <f>+O153+O154</f>
        <v>2</v>
      </c>
      <c r="P152" s="28">
        <f>+P153+P154</f>
        <v>3619</v>
      </c>
      <c r="Q152" s="18"/>
    </row>
    <row r="153" spans="1:17" ht="12.75" customHeight="1">
      <c r="A153" s="22" t="s">
        <v>20</v>
      </c>
      <c r="B153" s="29"/>
      <c r="C153" s="29">
        <v>3617</v>
      </c>
      <c r="D153" s="29"/>
      <c r="E153" s="30">
        <v>358</v>
      </c>
      <c r="F153" s="24">
        <f>SUM(B153:E153)</f>
        <v>3975</v>
      </c>
      <c r="G153" s="29"/>
      <c r="H153" s="29"/>
      <c r="I153" s="29"/>
      <c r="J153" s="29">
        <v>356</v>
      </c>
      <c r="K153" s="24">
        <f>SUM(G153:J153)</f>
        <v>356</v>
      </c>
      <c r="L153" s="25">
        <f>+B153-G153</f>
        <v>0</v>
      </c>
      <c r="M153" s="25">
        <f>+C153-H153</f>
        <v>3617</v>
      </c>
      <c r="N153" s="25"/>
      <c r="O153" s="25">
        <f>+E153-J153</f>
        <v>2</v>
      </c>
      <c r="P153" s="26">
        <f>SUM(L153:O153)</f>
        <v>3619</v>
      </c>
      <c r="Q153" s="18"/>
    </row>
    <row r="154" spans="1:17" ht="12.75" customHeight="1">
      <c r="A154" s="22" t="s">
        <v>21</v>
      </c>
      <c r="B154" s="29"/>
      <c r="C154" s="29"/>
      <c r="D154" s="29"/>
      <c r="E154" s="30"/>
      <c r="F154" s="24">
        <f>SUM(B154:E154)</f>
        <v>0</v>
      </c>
      <c r="G154" s="29"/>
      <c r="H154" s="29"/>
      <c r="I154" s="29"/>
      <c r="J154" s="29"/>
      <c r="K154" s="24">
        <f>SUM(G154:J154)</f>
        <v>0</v>
      </c>
      <c r="L154" s="25">
        <f>+B154-G154</f>
        <v>0</v>
      </c>
      <c r="M154" s="25">
        <f>+C154-H154</f>
        <v>0</v>
      </c>
      <c r="N154" s="25"/>
      <c r="O154" s="25">
        <f>+E154-J154</f>
        <v>0</v>
      </c>
      <c r="P154" s="26">
        <f>SUM(L154:O154)</f>
        <v>0</v>
      </c>
      <c r="Q154" s="18"/>
    </row>
    <row r="155" spans="1:17" ht="12.75" customHeight="1">
      <c r="A155" s="65"/>
      <c r="B155" s="44"/>
      <c r="C155" s="44"/>
      <c r="D155" s="44"/>
      <c r="E155" s="45"/>
      <c r="F155" s="77"/>
      <c r="G155" s="84"/>
      <c r="H155" s="84"/>
      <c r="I155" s="84"/>
      <c r="J155" s="84"/>
      <c r="K155" s="82"/>
      <c r="L155" s="44"/>
      <c r="M155" s="44"/>
      <c r="N155" s="44"/>
      <c r="O155" s="44"/>
      <c r="P155" s="75"/>
      <c r="Q155" s="76"/>
    </row>
    <row r="156" spans="1:17" ht="12.75" customHeight="1">
      <c r="A156" s="57" t="s">
        <v>127</v>
      </c>
      <c r="B156" s="17">
        <f t="shared" ref="B156:K156" si="71">+B157+B161+B162</f>
        <v>415261</v>
      </c>
      <c r="C156" s="17">
        <f t="shared" si="71"/>
        <v>364584</v>
      </c>
      <c r="D156" s="17">
        <f t="shared" si="71"/>
        <v>0</v>
      </c>
      <c r="E156" s="17">
        <f t="shared" si="71"/>
        <v>323066</v>
      </c>
      <c r="F156" s="17">
        <f t="shared" si="71"/>
        <v>1102911</v>
      </c>
      <c r="G156" s="17">
        <f t="shared" si="71"/>
        <v>407659</v>
      </c>
      <c r="H156" s="17">
        <f t="shared" si="71"/>
        <v>286932</v>
      </c>
      <c r="I156" s="17">
        <f t="shared" si="71"/>
        <v>0</v>
      </c>
      <c r="J156" s="17">
        <f t="shared" si="71"/>
        <v>209157</v>
      </c>
      <c r="K156" s="17">
        <f t="shared" si="71"/>
        <v>903748</v>
      </c>
      <c r="L156" s="17">
        <f t="shared" ref="L156:P156" si="72">+L157+L161+L162</f>
        <v>7602</v>
      </c>
      <c r="M156" s="17">
        <f t="shared" si="72"/>
        <v>77652</v>
      </c>
      <c r="N156" s="17"/>
      <c r="O156" s="17">
        <f t="shared" si="72"/>
        <v>113909</v>
      </c>
      <c r="P156" s="17">
        <f t="shared" si="72"/>
        <v>199163</v>
      </c>
      <c r="Q156" s="18">
        <f>+K156/F156</f>
        <v>0.81942060601444722</v>
      </c>
    </row>
    <row r="157" spans="1:17" ht="12.75" customHeight="1">
      <c r="A157" s="58" t="s">
        <v>15</v>
      </c>
      <c r="B157" s="20">
        <f t="shared" ref="B157:K157" si="73">+B158+B159+B160</f>
        <v>415261</v>
      </c>
      <c r="C157" s="20">
        <f t="shared" si="73"/>
        <v>323723</v>
      </c>
      <c r="D157" s="20">
        <f t="shared" si="73"/>
        <v>0</v>
      </c>
      <c r="E157" s="20">
        <f t="shared" si="73"/>
        <v>312100</v>
      </c>
      <c r="F157" s="20">
        <f t="shared" si="73"/>
        <v>1051084</v>
      </c>
      <c r="G157" s="20">
        <f t="shared" si="73"/>
        <v>407659</v>
      </c>
      <c r="H157" s="20">
        <f t="shared" si="73"/>
        <v>273609</v>
      </c>
      <c r="I157" s="20">
        <f t="shared" si="73"/>
        <v>0</v>
      </c>
      <c r="J157" s="20">
        <f t="shared" si="73"/>
        <v>201609</v>
      </c>
      <c r="K157" s="20">
        <f t="shared" si="73"/>
        <v>882877</v>
      </c>
      <c r="L157" s="20">
        <f>+L158+L159+L160</f>
        <v>7602</v>
      </c>
      <c r="M157" s="20">
        <f>+M158+M159+M160</f>
        <v>50114</v>
      </c>
      <c r="N157" s="20"/>
      <c r="O157" s="20">
        <f>+O158+O159+O160</f>
        <v>110491</v>
      </c>
      <c r="P157" s="21">
        <f>+P158+P159+P160</f>
        <v>168207</v>
      </c>
      <c r="Q157" s="18"/>
    </row>
    <row r="158" spans="1:17" ht="12.75" customHeight="1">
      <c r="A158" s="22" t="s">
        <v>16</v>
      </c>
      <c r="B158" s="29">
        <v>303229</v>
      </c>
      <c r="C158" s="29">
        <v>323723</v>
      </c>
      <c r="D158" s="29"/>
      <c r="E158" s="30">
        <v>312100</v>
      </c>
      <c r="F158" s="24">
        <f>SUM(B158:E158)</f>
        <v>939052</v>
      </c>
      <c r="G158" s="29">
        <v>298494</v>
      </c>
      <c r="H158" s="29">
        <v>273609</v>
      </c>
      <c r="I158" s="29"/>
      <c r="J158" s="29">
        <v>201609</v>
      </c>
      <c r="K158" s="24">
        <f>SUM(G158:J158)</f>
        <v>773712</v>
      </c>
      <c r="L158" s="25">
        <f t="shared" ref="L158:M161" si="74">+B158-G158</f>
        <v>4735</v>
      </c>
      <c r="M158" s="25">
        <f t="shared" si="74"/>
        <v>50114</v>
      </c>
      <c r="N158" s="25"/>
      <c r="O158" s="25">
        <f>+E158-J158</f>
        <v>110491</v>
      </c>
      <c r="P158" s="26">
        <f>SUM(L158:O158)</f>
        <v>165340</v>
      </c>
      <c r="Q158" s="18"/>
    </row>
    <row r="159" spans="1:17" ht="12.75" customHeight="1">
      <c r="A159" s="22" t="s">
        <v>17</v>
      </c>
      <c r="B159" s="29">
        <v>85773</v>
      </c>
      <c r="C159" s="34"/>
      <c r="D159" s="34"/>
      <c r="E159" s="30"/>
      <c r="F159" s="24">
        <f>SUM(B159:E159)</f>
        <v>85773</v>
      </c>
      <c r="G159" s="29">
        <f>1348+81994</f>
        <v>83342</v>
      </c>
      <c r="H159" s="34"/>
      <c r="I159" s="34"/>
      <c r="J159" s="34"/>
      <c r="K159" s="24">
        <f>SUM(G159:J159)</f>
        <v>83342</v>
      </c>
      <c r="L159" s="25">
        <f t="shared" si="74"/>
        <v>2431</v>
      </c>
      <c r="M159" s="25">
        <f t="shared" si="74"/>
        <v>0</v>
      </c>
      <c r="N159" s="25"/>
      <c r="O159" s="25">
        <f>+E159-J159</f>
        <v>0</v>
      </c>
      <c r="P159" s="26">
        <f>SUM(L159:O159)</f>
        <v>2431</v>
      </c>
      <c r="Q159" s="18"/>
    </row>
    <row r="160" spans="1:17" ht="12.75" customHeight="1">
      <c r="A160" s="22" t="s">
        <v>18</v>
      </c>
      <c r="B160" s="29">
        <v>26259</v>
      </c>
      <c r="C160" s="34"/>
      <c r="D160" s="34"/>
      <c r="E160" s="35"/>
      <c r="F160" s="24">
        <f>SUM(B160:E160)</f>
        <v>26259</v>
      </c>
      <c r="G160" s="29">
        <v>25823</v>
      </c>
      <c r="H160" s="34"/>
      <c r="I160" s="34"/>
      <c r="J160" s="34"/>
      <c r="K160" s="24">
        <f>SUM(G160:J160)</f>
        <v>25823</v>
      </c>
      <c r="L160" s="25">
        <f t="shared" si="74"/>
        <v>436</v>
      </c>
      <c r="M160" s="25">
        <f t="shared" si="74"/>
        <v>0</v>
      </c>
      <c r="N160" s="25"/>
      <c r="O160" s="25">
        <f>+E160-J160</f>
        <v>0</v>
      </c>
      <c r="P160" s="26">
        <f>SUM(L160:O160)</f>
        <v>436</v>
      </c>
      <c r="Q160" s="18"/>
    </row>
    <row r="161" spans="1:17" ht="12.75" customHeight="1">
      <c r="A161" s="22" t="s">
        <v>30</v>
      </c>
      <c r="B161" s="29"/>
      <c r="C161" s="29">
        <v>11840</v>
      </c>
      <c r="D161" s="29"/>
      <c r="E161" s="35"/>
      <c r="F161" s="24">
        <f>SUM(B161:E161)</f>
        <v>11840</v>
      </c>
      <c r="G161" s="29">
        <v>0</v>
      </c>
      <c r="H161" s="34">
        <v>0</v>
      </c>
      <c r="I161" s="34"/>
      <c r="J161" s="34"/>
      <c r="K161" s="24">
        <f>SUM(G161:J161)</f>
        <v>0</v>
      </c>
      <c r="L161" s="25">
        <f t="shared" si="74"/>
        <v>0</v>
      </c>
      <c r="M161" s="25">
        <f t="shared" si="74"/>
        <v>11840</v>
      </c>
      <c r="N161" s="25"/>
      <c r="O161" s="25">
        <f>+E161-J161</f>
        <v>0</v>
      </c>
      <c r="P161" s="26">
        <f>SUM(L161:O161)</f>
        <v>11840</v>
      </c>
      <c r="Q161" s="18"/>
    </row>
    <row r="162" spans="1:17" ht="12.75" customHeight="1">
      <c r="A162" s="22" t="s">
        <v>19</v>
      </c>
      <c r="B162" s="27">
        <f t="shared" ref="B162:K162" si="75">+B163+B164</f>
        <v>0</v>
      </c>
      <c r="C162" s="27">
        <f t="shared" si="75"/>
        <v>29021</v>
      </c>
      <c r="D162" s="27">
        <f t="shared" si="75"/>
        <v>0</v>
      </c>
      <c r="E162" s="27">
        <f t="shared" si="75"/>
        <v>10966</v>
      </c>
      <c r="F162" s="27">
        <f t="shared" si="75"/>
        <v>39987</v>
      </c>
      <c r="G162" s="27">
        <f t="shared" si="75"/>
        <v>0</v>
      </c>
      <c r="H162" s="27">
        <f t="shared" si="75"/>
        <v>13323</v>
      </c>
      <c r="I162" s="27">
        <f t="shared" si="75"/>
        <v>0</v>
      </c>
      <c r="J162" s="27">
        <f t="shared" si="75"/>
        <v>7548</v>
      </c>
      <c r="K162" s="27">
        <f t="shared" si="75"/>
        <v>20871</v>
      </c>
      <c r="L162" s="27">
        <f>+L163+L164</f>
        <v>0</v>
      </c>
      <c r="M162" s="27">
        <f>+M163+M164</f>
        <v>15698</v>
      </c>
      <c r="N162" s="27"/>
      <c r="O162" s="27">
        <f>+O163+O164</f>
        <v>3418</v>
      </c>
      <c r="P162" s="28">
        <f>+P163+P164</f>
        <v>19116</v>
      </c>
      <c r="Q162" s="18"/>
    </row>
    <row r="163" spans="1:17" ht="12.75" customHeight="1">
      <c r="A163" s="22" t="s">
        <v>20</v>
      </c>
      <c r="B163" s="29"/>
      <c r="C163" s="29">
        <v>29021</v>
      </c>
      <c r="D163" s="29"/>
      <c r="E163" s="30">
        <v>10966</v>
      </c>
      <c r="F163" s="24">
        <f>SUM(B163:E163)</f>
        <v>39987</v>
      </c>
      <c r="G163" s="29"/>
      <c r="H163" s="29">
        <v>13323</v>
      </c>
      <c r="I163" s="29"/>
      <c r="J163" s="29">
        <f>1124+6424</f>
        <v>7548</v>
      </c>
      <c r="K163" s="24">
        <f>SUM(G163:J163)</f>
        <v>20871</v>
      </c>
      <c r="L163" s="25">
        <f>+B163-G163</f>
        <v>0</v>
      </c>
      <c r="M163" s="25">
        <f>+C163-H163</f>
        <v>15698</v>
      </c>
      <c r="N163" s="25"/>
      <c r="O163" s="25">
        <f>+E163-J163</f>
        <v>3418</v>
      </c>
      <c r="P163" s="26">
        <f>SUM(L163:O163)</f>
        <v>19116</v>
      </c>
      <c r="Q163" s="18"/>
    </row>
    <row r="164" spans="1:17" ht="12.75" customHeight="1">
      <c r="A164" s="22" t="s">
        <v>21</v>
      </c>
      <c r="B164" s="29"/>
      <c r="C164" s="29"/>
      <c r="D164" s="29"/>
      <c r="E164" s="30"/>
      <c r="F164" s="24">
        <f>SUM(B164:E164)</f>
        <v>0</v>
      </c>
      <c r="G164" s="29"/>
      <c r="H164" s="29"/>
      <c r="I164" s="29"/>
      <c r="J164" s="29"/>
      <c r="K164" s="24">
        <f>SUM(G164:J164)</f>
        <v>0</v>
      </c>
      <c r="L164" s="25">
        <f>+B164-G164</f>
        <v>0</v>
      </c>
      <c r="M164" s="25">
        <f>+C164-H164</f>
        <v>0</v>
      </c>
      <c r="N164" s="25"/>
      <c r="O164" s="25">
        <f>+E164-J164</f>
        <v>0</v>
      </c>
      <c r="P164" s="26">
        <f>SUM(L164:O164)</f>
        <v>0</v>
      </c>
      <c r="Q164" s="18"/>
    </row>
    <row r="165" spans="1:17" ht="12.75" customHeight="1">
      <c r="A165" s="57"/>
      <c r="B165" s="25"/>
      <c r="C165" s="25"/>
      <c r="D165" s="25"/>
      <c r="E165" s="43"/>
      <c r="F165" s="24"/>
      <c r="G165" s="47"/>
      <c r="H165" s="47"/>
      <c r="I165" s="47"/>
      <c r="J165" s="47"/>
      <c r="K165" s="32"/>
      <c r="L165" s="25"/>
      <c r="M165" s="25"/>
      <c r="N165" s="25"/>
      <c r="O165" s="25"/>
      <c r="P165" s="26"/>
      <c r="Q165" s="18"/>
    </row>
    <row r="166" spans="1:17" ht="12.75" customHeight="1">
      <c r="A166" s="57" t="s">
        <v>128</v>
      </c>
      <c r="B166" s="17">
        <f t="shared" ref="B166:K166" si="76">+B167+B171</f>
        <v>47083</v>
      </c>
      <c r="C166" s="17">
        <f t="shared" si="76"/>
        <v>14847</v>
      </c>
      <c r="D166" s="17">
        <f t="shared" si="76"/>
        <v>0</v>
      </c>
      <c r="E166" s="17">
        <f t="shared" si="76"/>
        <v>5022</v>
      </c>
      <c r="F166" s="17">
        <f t="shared" si="76"/>
        <v>66952</v>
      </c>
      <c r="G166" s="17">
        <f t="shared" si="76"/>
        <v>46605</v>
      </c>
      <c r="H166" s="17">
        <f t="shared" si="76"/>
        <v>13961</v>
      </c>
      <c r="I166" s="17">
        <f t="shared" si="76"/>
        <v>0</v>
      </c>
      <c r="J166" s="17">
        <f t="shared" si="76"/>
        <v>4742</v>
      </c>
      <c r="K166" s="17">
        <f t="shared" si="76"/>
        <v>65308</v>
      </c>
      <c r="L166" s="17">
        <f>+L167+L171</f>
        <v>478</v>
      </c>
      <c r="M166" s="17">
        <f>+M167+M171</f>
        <v>886</v>
      </c>
      <c r="N166" s="17"/>
      <c r="O166" s="17">
        <f>+O167+O171</f>
        <v>280</v>
      </c>
      <c r="P166" s="17">
        <f>+P167+P171</f>
        <v>1644</v>
      </c>
      <c r="Q166" s="18">
        <f>+K166/F166</f>
        <v>0.97544509499342813</v>
      </c>
    </row>
    <row r="167" spans="1:17" ht="12.75" customHeight="1">
      <c r="A167" s="58" t="s">
        <v>15</v>
      </c>
      <c r="B167" s="20">
        <f t="shared" ref="B167:K167" si="77">+B168+B169+B170</f>
        <v>47083</v>
      </c>
      <c r="C167" s="20">
        <f t="shared" si="77"/>
        <v>14795</v>
      </c>
      <c r="D167" s="20">
        <f t="shared" si="77"/>
        <v>0</v>
      </c>
      <c r="E167" s="20">
        <f t="shared" si="77"/>
        <v>5000</v>
      </c>
      <c r="F167" s="20">
        <f t="shared" si="77"/>
        <v>66878</v>
      </c>
      <c r="G167" s="20">
        <f t="shared" si="77"/>
        <v>46605</v>
      </c>
      <c r="H167" s="20">
        <f t="shared" si="77"/>
        <v>13909</v>
      </c>
      <c r="I167" s="20">
        <f t="shared" si="77"/>
        <v>0</v>
      </c>
      <c r="J167" s="20">
        <f t="shared" si="77"/>
        <v>4720</v>
      </c>
      <c r="K167" s="20">
        <f t="shared" si="77"/>
        <v>65234</v>
      </c>
      <c r="L167" s="20">
        <f>+L168+L169+L170</f>
        <v>478</v>
      </c>
      <c r="M167" s="20">
        <f>+M168+M169+M170</f>
        <v>886</v>
      </c>
      <c r="N167" s="20"/>
      <c r="O167" s="20">
        <f>+O168+O169+O170</f>
        <v>280</v>
      </c>
      <c r="P167" s="21">
        <f>+P168+P169+P170</f>
        <v>1644</v>
      </c>
      <c r="Q167" s="18"/>
    </row>
    <row r="168" spans="1:17" ht="12.75" customHeight="1">
      <c r="A168" s="22" t="s">
        <v>16</v>
      </c>
      <c r="B168" s="29">
        <v>36891</v>
      </c>
      <c r="C168" s="29">
        <v>14795</v>
      </c>
      <c r="D168" s="29"/>
      <c r="E168" s="30">
        <v>5000</v>
      </c>
      <c r="F168" s="24">
        <f>SUM(B168:E168)</f>
        <v>56686</v>
      </c>
      <c r="G168" s="29">
        <v>36802</v>
      </c>
      <c r="H168" s="29">
        <v>13909</v>
      </c>
      <c r="I168" s="29"/>
      <c r="J168" s="29">
        <v>4720</v>
      </c>
      <c r="K168" s="24">
        <f>SUM(G168:J168)</f>
        <v>55431</v>
      </c>
      <c r="L168" s="25">
        <f t="shared" ref="L168:M170" si="78">+B168-G168</f>
        <v>89</v>
      </c>
      <c r="M168" s="25">
        <f t="shared" si="78"/>
        <v>886</v>
      </c>
      <c r="N168" s="25"/>
      <c r="O168" s="25">
        <f>+E168-J168</f>
        <v>280</v>
      </c>
      <c r="P168" s="26">
        <f>SUM(L168:O168)</f>
        <v>1255</v>
      </c>
      <c r="Q168" s="18"/>
    </row>
    <row r="169" spans="1:17" ht="12.75" customHeight="1">
      <c r="A169" s="22" t="s">
        <v>17</v>
      </c>
      <c r="B169" s="29">
        <v>7221</v>
      </c>
      <c r="C169" s="34"/>
      <c r="D169" s="34"/>
      <c r="E169" s="30"/>
      <c r="F169" s="24">
        <f>SUM(B169:E169)</f>
        <v>7221</v>
      </c>
      <c r="G169" s="29">
        <f>6121+1079</f>
        <v>7200</v>
      </c>
      <c r="H169" s="34"/>
      <c r="I169" s="34"/>
      <c r="J169" s="34"/>
      <c r="K169" s="24">
        <f>SUM(G169:J169)</f>
        <v>7200</v>
      </c>
      <c r="L169" s="25">
        <f t="shared" si="78"/>
        <v>21</v>
      </c>
      <c r="M169" s="25">
        <f t="shared" si="78"/>
        <v>0</v>
      </c>
      <c r="N169" s="25"/>
      <c r="O169" s="25">
        <f>+E169-J169</f>
        <v>0</v>
      </c>
      <c r="P169" s="26">
        <f>SUM(L169:O169)</f>
        <v>21</v>
      </c>
      <c r="Q169" s="18"/>
    </row>
    <row r="170" spans="1:17" ht="12.75" customHeight="1">
      <c r="A170" s="22" t="s">
        <v>18</v>
      </c>
      <c r="B170" s="29">
        <v>2971</v>
      </c>
      <c r="C170" s="34"/>
      <c r="D170" s="34"/>
      <c r="E170" s="30"/>
      <c r="F170" s="24">
        <f>SUM(B170:E170)</f>
        <v>2971</v>
      </c>
      <c r="G170" s="29">
        <v>2603</v>
      </c>
      <c r="H170" s="34"/>
      <c r="I170" s="34"/>
      <c r="J170" s="29"/>
      <c r="K170" s="24">
        <f>SUM(G170:J170)</f>
        <v>2603</v>
      </c>
      <c r="L170" s="25">
        <f t="shared" si="78"/>
        <v>368</v>
      </c>
      <c r="M170" s="25">
        <f t="shared" si="78"/>
        <v>0</v>
      </c>
      <c r="N170" s="25"/>
      <c r="O170" s="25">
        <f>+E170-J170</f>
        <v>0</v>
      </c>
      <c r="P170" s="26">
        <f>SUM(L170:O170)</f>
        <v>368</v>
      </c>
      <c r="Q170" s="18"/>
    </row>
    <row r="171" spans="1:17" ht="12.75" customHeight="1">
      <c r="A171" s="22" t="s">
        <v>19</v>
      </c>
      <c r="B171" s="27">
        <f t="shared" ref="B171:K171" si="79">+B172+B173</f>
        <v>0</v>
      </c>
      <c r="C171" s="27">
        <f t="shared" si="79"/>
        <v>52</v>
      </c>
      <c r="D171" s="27">
        <f t="shared" si="79"/>
        <v>0</v>
      </c>
      <c r="E171" s="27">
        <f t="shared" si="79"/>
        <v>22</v>
      </c>
      <c r="F171" s="27">
        <f t="shared" si="79"/>
        <v>74</v>
      </c>
      <c r="G171" s="27">
        <f t="shared" si="79"/>
        <v>0</v>
      </c>
      <c r="H171" s="27">
        <f t="shared" si="79"/>
        <v>52</v>
      </c>
      <c r="I171" s="27">
        <f t="shared" si="79"/>
        <v>0</v>
      </c>
      <c r="J171" s="27">
        <f t="shared" si="79"/>
        <v>22</v>
      </c>
      <c r="K171" s="27">
        <f t="shared" si="79"/>
        <v>74</v>
      </c>
      <c r="L171" s="27">
        <f>+L172+L173</f>
        <v>0</v>
      </c>
      <c r="M171" s="27">
        <f>+M172+M173</f>
        <v>0</v>
      </c>
      <c r="N171" s="27"/>
      <c r="O171" s="27">
        <f>+O172+O173</f>
        <v>0</v>
      </c>
      <c r="P171" s="28">
        <f>+P172+P173</f>
        <v>0</v>
      </c>
      <c r="Q171" s="18"/>
    </row>
    <row r="172" spans="1:17" ht="12.75" customHeight="1">
      <c r="A172" s="22" t="s">
        <v>20</v>
      </c>
      <c r="B172" s="29"/>
      <c r="C172" s="29">
        <f>5+25+22</f>
        <v>52</v>
      </c>
      <c r="D172" s="29"/>
      <c r="E172" s="30">
        <v>22</v>
      </c>
      <c r="F172" s="24">
        <f>SUM(B172:E172)</f>
        <v>74</v>
      </c>
      <c r="G172" s="29"/>
      <c r="H172" s="29">
        <v>52</v>
      </c>
      <c r="I172" s="29"/>
      <c r="J172" s="29">
        <v>22</v>
      </c>
      <c r="K172" s="24">
        <f>SUM(G172:J172)</f>
        <v>74</v>
      </c>
      <c r="L172" s="25">
        <f>+B172-G172</f>
        <v>0</v>
      </c>
      <c r="M172" s="25">
        <f>+C172-H172</f>
        <v>0</v>
      </c>
      <c r="N172" s="25"/>
      <c r="O172" s="25">
        <f>+E172-J172</f>
        <v>0</v>
      </c>
      <c r="P172" s="26">
        <f>SUM(L172:O172)</f>
        <v>0</v>
      </c>
      <c r="Q172" s="18"/>
    </row>
    <row r="173" spans="1:17" ht="12.75" customHeight="1">
      <c r="A173" s="22" t="s">
        <v>21</v>
      </c>
      <c r="B173" s="29"/>
      <c r="C173" s="29"/>
      <c r="D173" s="29"/>
      <c r="E173" s="30"/>
      <c r="F173" s="24">
        <f>SUM(B173:E173)</f>
        <v>0</v>
      </c>
      <c r="G173" s="31"/>
      <c r="H173" s="31"/>
      <c r="I173" s="31"/>
      <c r="J173" s="31"/>
      <c r="K173" s="32">
        <f>SUM(G173:J173)</f>
        <v>0</v>
      </c>
      <c r="L173" s="25">
        <f>+B173-G173</f>
        <v>0</v>
      </c>
      <c r="M173" s="25">
        <f>+C173-H173</f>
        <v>0</v>
      </c>
      <c r="N173" s="25"/>
      <c r="O173" s="25">
        <f>+E173-J173</f>
        <v>0</v>
      </c>
      <c r="P173" s="26">
        <f>SUM(L173:O173)</f>
        <v>0</v>
      </c>
      <c r="Q173" s="18"/>
    </row>
    <row r="174" spans="1:17" ht="12.75" customHeight="1">
      <c r="A174" s="57"/>
      <c r="B174" s="25"/>
      <c r="C174" s="25"/>
      <c r="D174" s="25"/>
      <c r="E174" s="43"/>
      <c r="F174" s="24"/>
      <c r="G174" s="25"/>
      <c r="H174" s="25"/>
      <c r="I174" s="25"/>
      <c r="J174" s="25"/>
      <c r="K174" s="24"/>
      <c r="L174" s="25"/>
      <c r="M174" s="25"/>
      <c r="N174" s="25"/>
      <c r="O174" s="25"/>
      <c r="P174" s="26"/>
      <c r="Q174" s="18"/>
    </row>
    <row r="175" spans="1:17" ht="12.75" customHeight="1">
      <c r="A175" s="57" t="s">
        <v>129</v>
      </c>
      <c r="B175" s="17">
        <f t="shared" ref="B175:K175" si="80">+B176+B180</f>
        <v>34589</v>
      </c>
      <c r="C175" s="17">
        <f t="shared" si="80"/>
        <v>1717469</v>
      </c>
      <c r="D175" s="17">
        <f t="shared" si="80"/>
        <v>0</v>
      </c>
      <c r="E175" s="17">
        <f t="shared" si="80"/>
        <v>1303</v>
      </c>
      <c r="F175" s="17">
        <f t="shared" si="80"/>
        <v>1753361</v>
      </c>
      <c r="G175" s="17">
        <f t="shared" si="80"/>
        <v>34473</v>
      </c>
      <c r="H175" s="17">
        <f t="shared" si="80"/>
        <v>1711999</v>
      </c>
      <c r="I175" s="17">
        <f t="shared" si="80"/>
        <v>0</v>
      </c>
      <c r="J175" s="17">
        <f t="shared" si="80"/>
        <v>1262</v>
      </c>
      <c r="K175" s="17">
        <f t="shared" si="80"/>
        <v>1747734</v>
      </c>
      <c r="L175" s="17">
        <f>+L176+L180</f>
        <v>116</v>
      </c>
      <c r="M175" s="17">
        <f>+M176+M180</f>
        <v>5470</v>
      </c>
      <c r="N175" s="17"/>
      <c r="O175" s="17">
        <f>+O176+O180</f>
        <v>41</v>
      </c>
      <c r="P175" s="17">
        <f>+P176+P180</f>
        <v>5627</v>
      </c>
      <c r="Q175" s="18">
        <f>+K175/F175</f>
        <v>0.99679073505113891</v>
      </c>
    </row>
    <row r="176" spans="1:17" ht="12.75" customHeight="1">
      <c r="A176" s="58" t="s">
        <v>15</v>
      </c>
      <c r="B176" s="20">
        <f t="shared" ref="B176:K176" si="81">+B177+B178+B179</f>
        <v>34589</v>
      </c>
      <c r="C176" s="20">
        <f t="shared" si="81"/>
        <v>1717469</v>
      </c>
      <c r="D176" s="20">
        <f t="shared" si="81"/>
        <v>0</v>
      </c>
      <c r="E176" s="20">
        <f t="shared" si="81"/>
        <v>1303</v>
      </c>
      <c r="F176" s="20">
        <f t="shared" si="81"/>
        <v>1753361</v>
      </c>
      <c r="G176" s="20">
        <f t="shared" si="81"/>
        <v>34473</v>
      </c>
      <c r="H176" s="20">
        <f t="shared" si="81"/>
        <v>1711999</v>
      </c>
      <c r="I176" s="20">
        <f t="shared" si="81"/>
        <v>0</v>
      </c>
      <c r="J176" s="20">
        <f t="shared" si="81"/>
        <v>1262</v>
      </c>
      <c r="K176" s="20">
        <f t="shared" si="81"/>
        <v>1747734</v>
      </c>
      <c r="L176" s="20">
        <f>+L177+L178+L179</f>
        <v>116</v>
      </c>
      <c r="M176" s="20">
        <f>+M177+M178+M179</f>
        <v>5470</v>
      </c>
      <c r="N176" s="20"/>
      <c r="O176" s="20">
        <f>+O177+O178+O179</f>
        <v>41</v>
      </c>
      <c r="P176" s="21">
        <f>+P177+P178+P179</f>
        <v>5627</v>
      </c>
      <c r="Q176" s="18"/>
    </row>
    <row r="177" spans="1:17" ht="12.75" customHeight="1">
      <c r="A177" s="22" t="s">
        <v>16</v>
      </c>
      <c r="B177" s="29">
        <v>24775</v>
      </c>
      <c r="C177" s="29">
        <v>1717469</v>
      </c>
      <c r="D177" s="29"/>
      <c r="E177" s="30">
        <v>1303</v>
      </c>
      <c r="F177" s="24">
        <f>SUM(B177:E177)</f>
        <v>1743547</v>
      </c>
      <c r="G177" s="29">
        <f>34457-G178-G179+16</f>
        <v>24660</v>
      </c>
      <c r="H177" s="29">
        <v>1711999</v>
      </c>
      <c r="I177" s="29"/>
      <c r="J177" s="29">
        <v>1262</v>
      </c>
      <c r="K177" s="24">
        <f>SUM(G177:J177)</f>
        <v>1737921</v>
      </c>
      <c r="L177" s="25">
        <f t="shared" ref="L177:M179" si="82">+B177-G177</f>
        <v>115</v>
      </c>
      <c r="M177" s="25">
        <f t="shared" si="82"/>
        <v>5470</v>
      </c>
      <c r="N177" s="25"/>
      <c r="O177" s="25">
        <f>+E177-J177</f>
        <v>41</v>
      </c>
      <c r="P177" s="26">
        <f>SUM(L177:O177)</f>
        <v>5626</v>
      </c>
      <c r="Q177" s="18"/>
    </row>
    <row r="178" spans="1:17" ht="12.75" customHeight="1">
      <c r="A178" s="22" t="s">
        <v>17</v>
      </c>
      <c r="B178" s="29">
        <v>7712</v>
      </c>
      <c r="C178" s="34"/>
      <c r="D178" s="34"/>
      <c r="E178" s="30"/>
      <c r="F178" s="24">
        <f>SUM(B178:E178)</f>
        <v>7712</v>
      </c>
      <c r="G178" s="29">
        <v>7711</v>
      </c>
      <c r="H178" s="34"/>
      <c r="I178" s="34"/>
      <c r="J178" s="34"/>
      <c r="K178" s="24">
        <f>SUM(G178:J178)</f>
        <v>7711</v>
      </c>
      <c r="L178" s="25">
        <f t="shared" si="82"/>
        <v>1</v>
      </c>
      <c r="M178" s="25">
        <f t="shared" si="82"/>
        <v>0</v>
      </c>
      <c r="N178" s="25"/>
      <c r="O178" s="25">
        <f>+E178-J178</f>
        <v>0</v>
      </c>
      <c r="P178" s="26">
        <f>SUM(L178:O178)</f>
        <v>1</v>
      </c>
      <c r="Q178" s="18"/>
    </row>
    <row r="179" spans="1:17" ht="12.75" customHeight="1">
      <c r="A179" s="22" t="s">
        <v>18</v>
      </c>
      <c r="B179" s="29">
        <v>2102</v>
      </c>
      <c r="C179" s="34"/>
      <c r="D179" s="34"/>
      <c r="E179" s="35"/>
      <c r="F179" s="24">
        <f>SUM(B179:E179)</f>
        <v>2102</v>
      </c>
      <c r="G179" s="29">
        <f>2118-16</f>
        <v>2102</v>
      </c>
      <c r="H179" s="34"/>
      <c r="I179" s="34"/>
      <c r="J179" s="34"/>
      <c r="K179" s="24">
        <f>SUM(G179:J179)</f>
        <v>2102</v>
      </c>
      <c r="L179" s="25">
        <f t="shared" si="82"/>
        <v>0</v>
      </c>
      <c r="M179" s="25">
        <f t="shared" si="82"/>
        <v>0</v>
      </c>
      <c r="N179" s="25"/>
      <c r="O179" s="25">
        <f>+E179-J179</f>
        <v>0</v>
      </c>
      <c r="P179" s="26">
        <f>SUM(L179:O179)</f>
        <v>0</v>
      </c>
      <c r="Q179" s="18"/>
    </row>
    <row r="180" spans="1:17" ht="12.75" customHeight="1">
      <c r="A180" s="22" t="s">
        <v>19</v>
      </c>
      <c r="B180" s="27">
        <f t="shared" ref="B180:K180" si="83">+B181+B182</f>
        <v>0</v>
      </c>
      <c r="C180" s="27">
        <f t="shared" si="83"/>
        <v>0</v>
      </c>
      <c r="D180" s="27">
        <f t="shared" si="83"/>
        <v>0</v>
      </c>
      <c r="E180" s="27">
        <f t="shared" si="83"/>
        <v>0</v>
      </c>
      <c r="F180" s="27">
        <f t="shared" si="83"/>
        <v>0</v>
      </c>
      <c r="G180" s="27">
        <f t="shared" si="83"/>
        <v>0</v>
      </c>
      <c r="H180" s="27">
        <f t="shared" si="83"/>
        <v>0</v>
      </c>
      <c r="I180" s="27">
        <f t="shared" si="83"/>
        <v>0</v>
      </c>
      <c r="J180" s="27">
        <f t="shared" si="83"/>
        <v>0</v>
      </c>
      <c r="K180" s="27">
        <f t="shared" si="83"/>
        <v>0</v>
      </c>
      <c r="L180" s="27">
        <f>+L181+L182</f>
        <v>0</v>
      </c>
      <c r="M180" s="27">
        <f>+M181+M182</f>
        <v>0</v>
      </c>
      <c r="N180" s="27"/>
      <c r="O180" s="27">
        <f>+O181+O182</f>
        <v>0</v>
      </c>
      <c r="P180" s="28">
        <f>+P181+P182</f>
        <v>0</v>
      </c>
      <c r="Q180" s="18"/>
    </row>
    <row r="181" spans="1:17" ht="12.75" customHeight="1">
      <c r="A181" s="22" t="s">
        <v>20</v>
      </c>
      <c r="B181" s="29"/>
      <c r="C181" s="29"/>
      <c r="D181" s="29"/>
      <c r="E181" s="30"/>
      <c r="F181" s="24">
        <f>SUM(B181:E181)</f>
        <v>0</v>
      </c>
      <c r="G181" s="29"/>
      <c r="H181" s="29"/>
      <c r="I181" s="29"/>
      <c r="J181" s="29"/>
      <c r="K181" s="24">
        <f>SUM(G181:J181)</f>
        <v>0</v>
      </c>
      <c r="L181" s="25">
        <f>+B181-G181</f>
        <v>0</v>
      </c>
      <c r="M181" s="25">
        <f>+C181-H181</f>
        <v>0</v>
      </c>
      <c r="N181" s="25"/>
      <c r="O181" s="25">
        <f>+E181-J181</f>
        <v>0</v>
      </c>
      <c r="P181" s="26">
        <f>SUM(L181:O181)</f>
        <v>0</v>
      </c>
      <c r="Q181" s="18"/>
    </row>
    <row r="182" spans="1:17" ht="12.75" customHeight="1">
      <c r="A182" s="22" t="s">
        <v>21</v>
      </c>
      <c r="B182" s="29"/>
      <c r="C182" s="29"/>
      <c r="D182" s="29"/>
      <c r="E182" s="30"/>
      <c r="F182" s="24">
        <f>SUM(B182:E182)</f>
        <v>0</v>
      </c>
      <c r="G182" s="29"/>
      <c r="H182" s="29"/>
      <c r="I182" s="29"/>
      <c r="J182" s="29"/>
      <c r="K182" s="24">
        <f>SUM(G182:J182)</f>
        <v>0</v>
      </c>
      <c r="L182" s="25">
        <f>+B182-G182</f>
        <v>0</v>
      </c>
      <c r="M182" s="25">
        <f>+C182-H182</f>
        <v>0</v>
      </c>
      <c r="N182" s="25"/>
      <c r="O182" s="25">
        <f>+E182-J182</f>
        <v>0</v>
      </c>
      <c r="P182" s="26">
        <f>SUM(L182:O182)</f>
        <v>0</v>
      </c>
      <c r="Q182" s="18"/>
    </row>
    <row r="183" spans="1:17" ht="12.75" customHeight="1">
      <c r="A183" s="57"/>
      <c r="B183" s="25"/>
      <c r="C183" s="25"/>
      <c r="D183" s="25"/>
      <c r="E183" s="43"/>
      <c r="F183" s="24"/>
      <c r="G183" s="47"/>
      <c r="H183" s="47"/>
      <c r="I183" s="47"/>
      <c r="J183" s="47"/>
      <c r="K183" s="32"/>
      <c r="L183" s="25"/>
      <c r="M183" s="25"/>
      <c r="N183" s="25"/>
      <c r="O183" s="25"/>
      <c r="P183" s="26"/>
      <c r="Q183" s="18"/>
    </row>
    <row r="184" spans="1:17" ht="12.75" customHeight="1">
      <c r="A184" s="218" t="s">
        <v>130</v>
      </c>
      <c r="B184" s="17">
        <f t="shared" ref="B184:K184" si="84">+B185+B189</f>
        <v>33280</v>
      </c>
      <c r="C184" s="17">
        <f t="shared" si="84"/>
        <v>23878</v>
      </c>
      <c r="D184" s="17">
        <f t="shared" si="84"/>
        <v>0</v>
      </c>
      <c r="E184" s="17">
        <f t="shared" si="84"/>
        <v>3710</v>
      </c>
      <c r="F184" s="17">
        <f t="shared" si="84"/>
        <v>60868</v>
      </c>
      <c r="G184" s="17">
        <f t="shared" si="84"/>
        <v>33213</v>
      </c>
      <c r="H184" s="17">
        <f t="shared" si="84"/>
        <v>22010</v>
      </c>
      <c r="I184" s="17">
        <f t="shared" si="84"/>
        <v>0</v>
      </c>
      <c r="J184" s="17">
        <f t="shared" si="84"/>
        <v>2416</v>
      </c>
      <c r="K184" s="17">
        <f t="shared" si="84"/>
        <v>57639</v>
      </c>
      <c r="L184" s="17">
        <f>+L185+L189</f>
        <v>67</v>
      </c>
      <c r="M184" s="17">
        <f>+M185+M189</f>
        <v>1868</v>
      </c>
      <c r="N184" s="17"/>
      <c r="O184" s="17">
        <f>+O185+O189</f>
        <v>1294</v>
      </c>
      <c r="P184" s="17">
        <f>+P185+P189</f>
        <v>3229</v>
      </c>
      <c r="Q184" s="18">
        <f>+K184/F184</f>
        <v>0.94695077873431033</v>
      </c>
    </row>
    <row r="185" spans="1:17" ht="12.75" customHeight="1">
      <c r="A185" s="58" t="s">
        <v>15</v>
      </c>
      <c r="B185" s="20">
        <f t="shared" ref="B185:K185" si="85">+B186+B187+B188</f>
        <v>33280</v>
      </c>
      <c r="C185" s="20">
        <f t="shared" si="85"/>
        <v>22368</v>
      </c>
      <c r="D185" s="20">
        <f t="shared" si="85"/>
        <v>0</v>
      </c>
      <c r="E185" s="20">
        <f t="shared" si="85"/>
        <v>2700</v>
      </c>
      <c r="F185" s="20">
        <f t="shared" si="85"/>
        <v>58348</v>
      </c>
      <c r="G185" s="20">
        <f t="shared" si="85"/>
        <v>33213</v>
      </c>
      <c r="H185" s="20">
        <f t="shared" si="85"/>
        <v>20500</v>
      </c>
      <c r="I185" s="20">
        <f t="shared" si="85"/>
        <v>0</v>
      </c>
      <c r="J185" s="20">
        <f t="shared" si="85"/>
        <v>2416</v>
      </c>
      <c r="K185" s="20">
        <f t="shared" si="85"/>
        <v>56129</v>
      </c>
      <c r="L185" s="20">
        <f>+L186+L187+L188</f>
        <v>67</v>
      </c>
      <c r="M185" s="20">
        <f>+M186+M187+M188</f>
        <v>1868</v>
      </c>
      <c r="N185" s="20"/>
      <c r="O185" s="20">
        <f>+O186+O187+O188</f>
        <v>284</v>
      </c>
      <c r="P185" s="21">
        <f>+P186+P187+P188</f>
        <v>2219</v>
      </c>
      <c r="Q185" s="18"/>
    </row>
    <row r="186" spans="1:17" ht="12.75" customHeight="1">
      <c r="A186" s="22" t="s">
        <v>16</v>
      </c>
      <c r="B186" s="29">
        <v>24858</v>
      </c>
      <c r="C186" s="29">
        <v>22368</v>
      </c>
      <c r="D186" s="29"/>
      <c r="E186" s="30">
        <v>2700</v>
      </c>
      <c r="F186" s="24">
        <f>SUM(B186:E186)</f>
        <v>49926</v>
      </c>
      <c r="G186" s="29">
        <f>24961-103</f>
        <v>24858</v>
      </c>
      <c r="H186" s="29">
        <f>20397+103</f>
        <v>20500</v>
      </c>
      <c r="I186" s="29"/>
      <c r="J186" s="29">
        <v>2416</v>
      </c>
      <c r="K186" s="24">
        <f>SUM(G186:J186)</f>
        <v>47774</v>
      </c>
      <c r="L186" s="25">
        <f t="shared" ref="L186:M188" si="86">+B186-G186</f>
        <v>0</v>
      </c>
      <c r="M186" s="25">
        <f t="shared" si="86"/>
        <v>1868</v>
      </c>
      <c r="N186" s="25"/>
      <c r="O186" s="25">
        <f>+E186-J186</f>
        <v>284</v>
      </c>
      <c r="P186" s="26">
        <f>SUM(L186:O186)</f>
        <v>2152</v>
      </c>
      <c r="Q186" s="18"/>
    </row>
    <row r="187" spans="1:17" ht="12.75" customHeight="1">
      <c r="A187" s="22" t="s">
        <v>17</v>
      </c>
      <c r="B187" s="29">
        <v>6372</v>
      </c>
      <c r="C187" s="34"/>
      <c r="D187" s="34"/>
      <c r="E187" s="30"/>
      <c r="F187" s="24">
        <f>SUM(B187:E187)</f>
        <v>6372</v>
      </c>
      <c r="G187" s="29">
        <f>2871+3500</f>
        <v>6371</v>
      </c>
      <c r="H187" s="34"/>
      <c r="I187" s="34"/>
      <c r="J187" s="34"/>
      <c r="K187" s="24">
        <f>SUM(G187:J187)</f>
        <v>6371</v>
      </c>
      <c r="L187" s="25">
        <f t="shared" si="86"/>
        <v>1</v>
      </c>
      <c r="M187" s="25">
        <f t="shared" si="86"/>
        <v>0</v>
      </c>
      <c r="N187" s="25"/>
      <c r="O187" s="25">
        <f>+E187-J187</f>
        <v>0</v>
      </c>
      <c r="P187" s="26">
        <f>SUM(L187:O187)</f>
        <v>1</v>
      </c>
      <c r="Q187" s="18"/>
    </row>
    <row r="188" spans="1:17" ht="12.75" customHeight="1">
      <c r="A188" s="22" t="s">
        <v>18</v>
      </c>
      <c r="B188" s="29">
        <v>2050</v>
      </c>
      <c r="C188" s="34"/>
      <c r="D188" s="34"/>
      <c r="E188" s="35"/>
      <c r="F188" s="24">
        <f>SUM(B188:E188)</f>
        <v>2050</v>
      </c>
      <c r="G188" s="29">
        <v>1984</v>
      </c>
      <c r="H188" s="34"/>
      <c r="I188" s="34"/>
      <c r="J188" s="34"/>
      <c r="K188" s="24">
        <f>SUM(G188:J188)</f>
        <v>1984</v>
      </c>
      <c r="L188" s="25">
        <f t="shared" si="86"/>
        <v>66</v>
      </c>
      <c r="M188" s="25">
        <f t="shared" si="86"/>
        <v>0</v>
      </c>
      <c r="N188" s="25"/>
      <c r="O188" s="25">
        <f>+E188-J188</f>
        <v>0</v>
      </c>
      <c r="P188" s="26">
        <f>SUM(L188:O188)</f>
        <v>66</v>
      </c>
      <c r="Q188" s="18"/>
    </row>
    <row r="189" spans="1:17" ht="12.75" customHeight="1">
      <c r="A189" s="22" t="s">
        <v>19</v>
      </c>
      <c r="B189" s="27">
        <f t="shared" ref="B189:K189" si="87">+B190+B191</f>
        <v>0</v>
      </c>
      <c r="C189" s="27">
        <f t="shared" si="87"/>
        <v>1510</v>
      </c>
      <c r="D189" s="27">
        <f t="shared" si="87"/>
        <v>0</v>
      </c>
      <c r="E189" s="27">
        <f t="shared" si="87"/>
        <v>1010</v>
      </c>
      <c r="F189" s="27">
        <f t="shared" si="87"/>
        <v>2520</v>
      </c>
      <c r="G189" s="27">
        <f t="shared" si="87"/>
        <v>0</v>
      </c>
      <c r="H189" s="27">
        <f t="shared" si="87"/>
        <v>1510</v>
      </c>
      <c r="I189" s="27">
        <f t="shared" si="87"/>
        <v>0</v>
      </c>
      <c r="J189" s="27">
        <f t="shared" si="87"/>
        <v>0</v>
      </c>
      <c r="K189" s="27">
        <f t="shared" si="87"/>
        <v>1510</v>
      </c>
      <c r="L189" s="27">
        <f>+L190+L191</f>
        <v>0</v>
      </c>
      <c r="M189" s="27">
        <f>+M190+M191</f>
        <v>0</v>
      </c>
      <c r="N189" s="27"/>
      <c r="O189" s="27">
        <f>+O190+O191</f>
        <v>1010</v>
      </c>
      <c r="P189" s="28">
        <f>+P190+P191</f>
        <v>1010</v>
      </c>
      <c r="Q189" s="18"/>
    </row>
    <row r="190" spans="1:17" ht="12.75" customHeight="1">
      <c r="A190" s="22" t="s">
        <v>20</v>
      </c>
      <c r="B190" s="29"/>
      <c r="C190" s="29">
        <v>1510</v>
      </c>
      <c r="D190" s="29"/>
      <c r="E190" s="30">
        <f>2520-1510</f>
        <v>1010</v>
      </c>
      <c r="F190" s="24">
        <f>SUM(B190:E190)</f>
        <v>2520</v>
      </c>
      <c r="G190" s="29"/>
      <c r="H190" s="29">
        <v>1510</v>
      </c>
      <c r="I190" s="29"/>
      <c r="J190" s="29"/>
      <c r="K190" s="24">
        <f>SUM(G190:J190)</f>
        <v>1510</v>
      </c>
      <c r="L190" s="25">
        <f>+B190-G190</f>
        <v>0</v>
      </c>
      <c r="M190" s="25">
        <f>+C190-H190</f>
        <v>0</v>
      </c>
      <c r="N190" s="25"/>
      <c r="O190" s="25">
        <f>+E190-J190</f>
        <v>1010</v>
      </c>
      <c r="P190" s="26">
        <f>SUM(L190:O190)</f>
        <v>1010</v>
      </c>
      <c r="Q190" s="18"/>
    </row>
    <row r="191" spans="1:17" ht="12.75" customHeight="1">
      <c r="A191" s="22" t="s">
        <v>21</v>
      </c>
      <c r="B191" s="29"/>
      <c r="C191" s="29"/>
      <c r="D191" s="29"/>
      <c r="E191" s="30"/>
      <c r="F191" s="24">
        <f>SUM(B191:E191)</f>
        <v>0</v>
      </c>
      <c r="G191" s="29"/>
      <c r="H191" s="29"/>
      <c r="I191" s="29"/>
      <c r="J191" s="29"/>
      <c r="K191" s="24">
        <f>SUM(G191:J191)</f>
        <v>0</v>
      </c>
      <c r="L191" s="25">
        <f>+B191-G191</f>
        <v>0</v>
      </c>
      <c r="M191" s="25">
        <f>+C191-H191</f>
        <v>0</v>
      </c>
      <c r="N191" s="25"/>
      <c r="O191" s="25">
        <f>+E191-J191</f>
        <v>0</v>
      </c>
      <c r="P191" s="26">
        <f>SUM(L191:O191)</f>
        <v>0</v>
      </c>
      <c r="Q191" s="18"/>
    </row>
    <row r="192" spans="1:17" ht="12.75" customHeight="1">
      <c r="A192" s="57"/>
      <c r="B192" s="25"/>
      <c r="C192" s="25"/>
      <c r="D192" s="25"/>
      <c r="E192" s="43"/>
      <c r="F192" s="24"/>
      <c r="G192" s="25"/>
      <c r="H192" s="25"/>
      <c r="I192" s="25"/>
      <c r="J192" s="25"/>
      <c r="K192" s="24"/>
      <c r="L192" s="25"/>
      <c r="M192" s="25"/>
      <c r="N192" s="25"/>
      <c r="O192" s="25"/>
      <c r="P192" s="26"/>
      <c r="Q192" s="18"/>
    </row>
    <row r="193" spans="1:17" ht="12.75" customHeight="1">
      <c r="A193" s="218" t="s">
        <v>131</v>
      </c>
      <c r="B193" s="17">
        <f t="shared" ref="B193:K193" si="88">+B194+B198</f>
        <v>36159</v>
      </c>
      <c r="C193" s="17">
        <f t="shared" si="88"/>
        <v>43889</v>
      </c>
      <c r="D193" s="17">
        <f t="shared" si="88"/>
        <v>0</v>
      </c>
      <c r="E193" s="17">
        <f t="shared" si="88"/>
        <v>10000</v>
      </c>
      <c r="F193" s="17">
        <f t="shared" si="88"/>
        <v>90048</v>
      </c>
      <c r="G193" s="17">
        <f t="shared" si="88"/>
        <v>34764</v>
      </c>
      <c r="H193" s="17">
        <f t="shared" si="88"/>
        <v>43473</v>
      </c>
      <c r="I193" s="17">
        <f t="shared" si="88"/>
        <v>0</v>
      </c>
      <c r="J193" s="17">
        <f t="shared" si="88"/>
        <v>10000</v>
      </c>
      <c r="K193" s="17">
        <f t="shared" si="88"/>
        <v>88237</v>
      </c>
      <c r="L193" s="17">
        <f>+L194+L198</f>
        <v>1395</v>
      </c>
      <c r="M193" s="17">
        <f>+M194+M198</f>
        <v>416</v>
      </c>
      <c r="N193" s="17"/>
      <c r="O193" s="17">
        <f>+O194+O198</f>
        <v>0</v>
      </c>
      <c r="P193" s="17">
        <f>+P194+P198</f>
        <v>1811</v>
      </c>
      <c r="Q193" s="18">
        <f>+K193/F193</f>
        <v>0.97988850390902626</v>
      </c>
    </row>
    <row r="194" spans="1:17" ht="12.75" customHeight="1">
      <c r="A194" s="58" t="s">
        <v>15</v>
      </c>
      <c r="B194" s="20">
        <f t="shared" ref="B194:K194" si="89">+B195+B196+B197</f>
        <v>36159</v>
      </c>
      <c r="C194" s="20">
        <f t="shared" si="89"/>
        <v>43889</v>
      </c>
      <c r="D194" s="20">
        <f t="shared" si="89"/>
        <v>0</v>
      </c>
      <c r="E194" s="20">
        <f t="shared" si="89"/>
        <v>10000</v>
      </c>
      <c r="F194" s="20">
        <f t="shared" si="89"/>
        <v>90048</v>
      </c>
      <c r="G194" s="20">
        <f t="shared" si="89"/>
        <v>34764</v>
      </c>
      <c r="H194" s="20">
        <f t="shared" si="89"/>
        <v>43473</v>
      </c>
      <c r="I194" s="20">
        <f t="shared" si="89"/>
        <v>0</v>
      </c>
      <c r="J194" s="20">
        <f t="shared" si="89"/>
        <v>10000</v>
      </c>
      <c r="K194" s="20">
        <f t="shared" si="89"/>
        <v>88237</v>
      </c>
      <c r="L194" s="20">
        <f>+L195+L196+L197</f>
        <v>1395</v>
      </c>
      <c r="M194" s="20">
        <f>+M195+M196+M197</f>
        <v>416</v>
      </c>
      <c r="N194" s="20"/>
      <c r="O194" s="20">
        <f>+O195+O196+O197</f>
        <v>0</v>
      </c>
      <c r="P194" s="21">
        <f>+P195+P196+P197</f>
        <v>1811</v>
      </c>
      <c r="Q194" s="18"/>
    </row>
    <row r="195" spans="1:17" ht="12.75" customHeight="1">
      <c r="A195" s="22" t="s">
        <v>16</v>
      </c>
      <c r="B195" s="29">
        <v>27196</v>
      </c>
      <c r="C195" s="29">
        <v>43889</v>
      </c>
      <c r="D195" s="29"/>
      <c r="E195" s="30">
        <v>10000</v>
      </c>
      <c r="F195" s="24">
        <f>SUM(B195:E195)</f>
        <v>81085</v>
      </c>
      <c r="G195" s="29">
        <f>25458+384</f>
        <v>25842</v>
      </c>
      <c r="H195" s="29">
        <v>43473</v>
      </c>
      <c r="I195" s="29"/>
      <c r="J195" s="29">
        <v>10000</v>
      </c>
      <c r="K195" s="24">
        <f>SUM(G195:J195)</f>
        <v>79315</v>
      </c>
      <c r="L195" s="25">
        <f t="shared" ref="L195:M197" si="90">+B195-G195</f>
        <v>1354</v>
      </c>
      <c r="M195" s="25">
        <f t="shared" si="90"/>
        <v>416</v>
      </c>
      <c r="N195" s="25"/>
      <c r="O195" s="25">
        <f>+E195-J195</f>
        <v>0</v>
      </c>
      <c r="P195" s="26">
        <f>SUM(L195:O195)</f>
        <v>1770</v>
      </c>
      <c r="Q195" s="18"/>
    </row>
    <row r="196" spans="1:17" ht="12.75" customHeight="1">
      <c r="A196" s="22" t="s">
        <v>17</v>
      </c>
      <c r="B196" s="29">
        <v>6679</v>
      </c>
      <c r="C196" s="34"/>
      <c r="D196" s="34"/>
      <c r="E196" s="30"/>
      <c r="F196" s="24">
        <f>SUM(B196:E196)</f>
        <v>6679</v>
      </c>
      <c r="G196" s="29">
        <f>1000+6063-384</f>
        <v>6679</v>
      </c>
      <c r="H196" s="34"/>
      <c r="I196" s="34"/>
      <c r="J196" s="34"/>
      <c r="K196" s="24">
        <f>SUM(G196:J196)</f>
        <v>6679</v>
      </c>
      <c r="L196" s="25">
        <f t="shared" si="90"/>
        <v>0</v>
      </c>
      <c r="M196" s="25">
        <f t="shared" si="90"/>
        <v>0</v>
      </c>
      <c r="N196" s="25"/>
      <c r="O196" s="25">
        <f>+E196-J196</f>
        <v>0</v>
      </c>
      <c r="P196" s="26">
        <f>SUM(L196:O196)</f>
        <v>0</v>
      </c>
      <c r="Q196" s="18"/>
    </row>
    <row r="197" spans="1:17" ht="12.75" customHeight="1">
      <c r="A197" s="22" t="s">
        <v>18</v>
      </c>
      <c r="B197" s="29">
        <v>2284</v>
      </c>
      <c r="C197" s="34"/>
      <c r="D197" s="34"/>
      <c r="E197" s="35"/>
      <c r="F197" s="24">
        <f>SUM(B197:E197)</f>
        <v>2284</v>
      </c>
      <c r="G197" s="29">
        <v>2243</v>
      </c>
      <c r="H197" s="34"/>
      <c r="I197" s="34"/>
      <c r="J197" s="34"/>
      <c r="K197" s="24">
        <f>SUM(G197:J197)</f>
        <v>2243</v>
      </c>
      <c r="L197" s="25">
        <f t="shared" si="90"/>
        <v>41</v>
      </c>
      <c r="M197" s="25">
        <f t="shared" si="90"/>
        <v>0</v>
      </c>
      <c r="N197" s="25"/>
      <c r="O197" s="25">
        <f>+E197-J197</f>
        <v>0</v>
      </c>
      <c r="P197" s="26">
        <f>SUM(L197:O197)</f>
        <v>41</v>
      </c>
      <c r="Q197" s="18"/>
    </row>
    <row r="198" spans="1:17" ht="12.75" customHeight="1">
      <c r="A198" s="22" t="s">
        <v>19</v>
      </c>
      <c r="B198" s="27">
        <f t="shared" ref="B198:K198" si="91">+B199+B200</f>
        <v>0</v>
      </c>
      <c r="C198" s="27">
        <f t="shared" si="91"/>
        <v>0</v>
      </c>
      <c r="D198" s="27">
        <f t="shared" si="91"/>
        <v>0</v>
      </c>
      <c r="E198" s="27">
        <f t="shared" si="91"/>
        <v>0</v>
      </c>
      <c r="F198" s="27">
        <f t="shared" si="91"/>
        <v>0</v>
      </c>
      <c r="G198" s="27">
        <f t="shared" si="91"/>
        <v>0</v>
      </c>
      <c r="H198" s="27">
        <f t="shared" si="91"/>
        <v>0</v>
      </c>
      <c r="I198" s="27">
        <f t="shared" si="91"/>
        <v>0</v>
      </c>
      <c r="J198" s="27">
        <f t="shared" si="91"/>
        <v>0</v>
      </c>
      <c r="K198" s="27">
        <f t="shared" si="91"/>
        <v>0</v>
      </c>
      <c r="L198" s="27">
        <f>+L199+L200</f>
        <v>0</v>
      </c>
      <c r="M198" s="27">
        <f>+M199+M200</f>
        <v>0</v>
      </c>
      <c r="N198" s="27"/>
      <c r="O198" s="27">
        <f>+O199+O200</f>
        <v>0</v>
      </c>
      <c r="P198" s="28">
        <f>+P199+P200</f>
        <v>0</v>
      </c>
      <c r="Q198" s="18"/>
    </row>
    <row r="199" spans="1:17" ht="12.75" customHeight="1">
      <c r="A199" s="22" t="s">
        <v>20</v>
      </c>
      <c r="B199" s="29"/>
      <c r="C199" s="29"/>
      <c r="D199" s="29"/>
      <c r="E199" s="30"/>
      <c r="F199" s="24">
        <f>SUM(B199:E199)</f>
        <v>0</v>
      </c>
      <c r="G199" s="29"/>
      <c r="H199" s="29"/>
      <c r="I199" s="29"/>
      <c r="J199" s="29"/>
      <c r="K199" s="24">
        <f>SUM(G199:J199)</f>
        <v>0</v>
      </c>
      <c r="L199" s="25">
        <f>+B199-G199</f>
        <v>0</v>
      </c>
      <c r="M199" s="25">
        <f>+C199-H199</f>
        <v>0</v>
      </c>
      <c r="N199" s="25"/>
      <c r="O199" s="25">
        <f>+E199-J199</f>
        <v>0</v>
      </c>
      <c r="P199" s="26">
        <f>SUM(L199:O199)</f>
        <v>0</v>
      </c>
      <c r="Q199" s="18"/>
    </row>
    <row r="200" spans="1:17" ht="12.75" customHeight="1">
      <c r="A200" s="22" t="s">
        <v>21</v>
      </c>
      <c r="B200" s="29"/>
      <c r="C200" s="29"/>
      <c r="D200" s="29"/>
      <c r="E200" s="30"/>
      <c r="F200" s="24">
        <f>SUM(B200:E200)</f>
        <v>0</v>
      </c>
      <c r="G200" s="29"/>
      <c r="H200" s="29"/>
      <c r="I200" s="29"/>
      <c r="J200" s="29"/>
      <c r="K200" s="24">
        <f>SUM(G200:J200)</f>
        <v>0</v>
      </c>
      <c r="L200" s="25">
        <f>+B200-G200</f>
        <v>0</v>
      </c>
      <c r="M200" s="25">
        <f>+C200-H200</f>
        <v>0</v>
      </c>
      <c r="N200" s="25"/>
      <c r="O200" s="25">
        <f>+E200-J200</f>
        <v>0</v>
      </c>
      <c r="P200" s="26">
        <f>SUM(L200:O200)</f>
        <v>0</v>
      </c>
      <c r="Q200" s="18"/>
    </row>
    <row r="201" spans="1:17" ht="12.75" customHeight="1">
      <c r="A201" s="65"/>
      <c r="B201" s="44"/>
      <c r="C201" s="44"/>
      <c r="D201" s="44"/>
      <c r="E201" s="45"/>
      <c r="F201" s="77"/>
      <c r="G201" s="84"/>
      <c r="H201" s="84"/>
      <c r="I201" s="84"/>
      <c r="J201" s="84"/>
      <c r="K201" s="82"/>
      <c r="L201" s="44"/>
      <c r="M201" s="44"/>
      <c r="N201" s="44"/>
      <c r="O201" s="44"/>
      <c r="P201" s="75"/>
      <c r="Q201" s="76"/>
    </row>
    <row r="202" spans="1:17">
      <c r="A202" s="80"/>
    </row>
    <row r="203" spans="1:17">
      <c r="A203" s="80"/>
    </row>
    <row r="204" spans="1:17">
      <c r="A204" s="80"/>
    </row>
    <row r="205" spans="1:17">
      <c r="A205" s="80"/>
    </row>
    <row r="206" spans="1:17">
      <c r="A206" s="80"/>
    </row>
    <row r="207" spans="1:17">
      <c r="A207" s="80"/>
    </row>
    <row r="208" spans="1:17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  <row r="1128" spans="1:1">
      <c r="A1128" s="80"/>
    </row>
    <row r="1129" spans="1:1">
      <c r="A1129" s="80"/>
    </row>
    <row r="1130" spans="1:1">
      <c r="A1130" s="80"/>
    </row>
    <row r="1131" spans="1:1">
      <c r="A1131" s="80"/>
    </row>
    <row r="1132" spans="1:1">
      <c r="A1132" s="80"/>
    </row>
    <row r="1133" spans="1:1">
      <c r="A1133" s="80"/>
    </row>
    <row r="1134" spans="1:1">
      <c r="A1134" s="80"/>
    </row>
    <row r="1135" spans="1:1">
      <c r="A1135" s="80"/>
    </row>
    <row r="1136" spans="1:1">
      <c r="A1136" s="80"/>
    </row>
    <row r="1137" spans="1:1">
      <c r="A1137" s="80"/>
    </row>
    <row r="1138" spans="1:1">
      <c r="A1138" s="80"/>
    </row>
    <row r="1139" spans="1:1">
      <c r="A1139" s="80"/>
    </row>
    <row r="1140" spans="1:1">
      <c r="A1140" s="80"/>
    </row>
    <row r="1141" spans="1:1">
      <c r="A1141" s="80"/>
    </row>
    <row r="1142" spans="1:1">
      <c r="A1142" s="80"/>
    </row>
    <row r="1143" spans="1:1">
      <c r="A1143" s="80"/>
    </row>
    <row r="1144" spans="1:1">
      <c r="A1144" s="80"/>
    </row>
    <row r="1145" spans="1:1">
      <c r="A1145" s="80"/>
    </row>
    <row r="1146" spans="1:1">
      <c r="A1146" s="80"/>
    </row>
    <row r="1147" spans="1:1">
      <c r="A1147" s="80"/>
    </row>
    <row r="1148" spans="1:1">
      <c r="A1148" s="80"/>
    </row>
    <row r="1149" spans="1:1">
      <c r="A1149" s="80"/>
    </row>
    <row r="1150" spans="1:1">
      <c r="A1150" s="80"/>
    </row>
    <row r="1151" spans="1:1">
      <c r="A1151" s="80"/>
    </row>
    <row r="1152" spans="1:1">
      <c r="A1152" s="80"/>
    </row>
    <row r="1153" spans="1:1">
      <c r="A1153" s="80"/>
    </row>
    <row r="1154" spans="1:1">
      <c r="A1154" s="80"/>
    </row>
    <row r="1155" spans="1:1">
      <c r="A1155" s="80"/>
    </row>
    <row r="1156" spans="1:1">
      <c r="A1156" s="80"/>
    </row>
    <row r="1157" spans="1:1">
      <c r="A1157" s="80"/>
    </row>
    <row r="1158" spans="1:1">
      <c r="A1158" s="80"/>
    </row>
    <row r="1159" spans="1:1">
      <c r="A1159" s="80"/>
    </row>
    <row r="1160" spans="1:1">
      <c r="A1160" s="80"/>
    </row>
    <row r="1161" spans="1:1">
      <c r="A1161" s="80"/>
    </row>
    <row r="1162" spans="1:1">
      <c r="A1162" s="80"/>
    </row>
    <row r="1163" spans="1:1">
      <c r="A1163" s="80"/>
    </row>
    <row r="1164" spans="1:1">
      <c r="A1164" s="80"/>
    </row>
    <row r="1165" spans="1:1">
      <c r="A1165" s="80"/>
    </row>
    <row r="1166" spans="1:1">
      <c r="A1166" s="80"/>
    </row>
    <row r="1167" spans="1:1">
      <c r="A1167" s="80"/>
    </row>
    <row r="1168" spans="1:1">
      <c r="A1168" s="80"/>
    </row>
    <row r="1169" spans="1:1">
      <c r="A1169" s="80"/>
    </row>
    <row r="1170" spans="1:1">
      <c r="A1170" s="80"/>
    </row>
    <row r="1171" spans="1:1">
      <c r="A1171" s="80"/>
    </row>
    <row r="1172" spans="1:1">
      <c r="A1172" s="80"/>
    </row>
    <row r="1173" spans="1:1">
      <c r="A1173" s="80"/>
    </row>
    <row r="1174" spans="1:1">
      <c r="A1174" s="80"/>
    </row>
    <row r="1175" spans="1:1">
      <c r="A1175" s="80"/>
    </row>
    <row r="1176" spans="1:1">
      <c r="A1176" s="80"/>
    </row>
    <row r="1177" spans="1:1">
      <c r="A1177" s="80"/>
    </row>
    <row r="1178" spans="1:1">
      <c r="A1178" s="80"/>
    </row>
    <row r="1179" spans="1:1">
      <c r="A1179" s="80"/>
    </row>
    <row r="1180" spans="1:1">
      <c r="A1180" s="80"/>
    </row>
    <row r="1181" spans="1:1">
      <c r="A1181" s="80"/>
    </row>
    <row r="1182" spans="1:1">
      <c r="A1182" s="80"/>
    </row>
    <row r="1183" spans="1:1">
      <c r="A1183" s="80"/>
    </row>
    <row r="1184" spans="1:1">
      <c r="A1184" s="80"/>
    </row>
    <row r="1185" spans="1:1">
      <c r="A1185" s="80"/>
    </row>
    <row r="1186" spans="1:1">
      <c r="A1186" s="80"/>
    </row>
    <row r="1187" spans="1:1">
      <c r="A1187" s="80"/>
    </row>
    <row r="1188" spans="1:1">
      <c r="A1188" s="80"/>
    </row>
    <row r="1189" spans="1:1">
      <c r="A1189" s="80"/>
    </row>
    <row r="1190" spans="1:1">
      <c r="A1190" s="80"/>
    </row>
    <row r="1191" spans="1:1">
      <c r="A1191" s="80"/>
    </row>
    <row r="1192" spans="1:1">
      <c r="A1192" s="80"/>
    </row>
    <row r="1193" spans="1:1">
      <c r="A1193" s="80"/>
    </row>
    <row r="1194" spans="1:1">
      <c r="A1194" s="80"/>
    </row>
    <row r="1195" spans="1:1">
      <c r="A1195" s="80"/>
    </row>
    <row r="1196" spans="1:1">
      <c r="A1196" s="80"/>
    </row>
    <row r="1197" spans="1:1">
      <c r="A1197" s="80"/>
    </row>
    <row r="1198" spans="1:1">
      <c r="A1198" s="80"/>
    </row>
    <row r="1199" spans="1:1">
      <c r="A1199" s="80"/>
    </row>
    <row r="1200" spans="1:1">
      <c r="A1200" s="80"/>
    </row>
    <row r="1201" spans="1:1">
      <c r="A1201" s="80"/>
    </row>
    <row r="1202" spans="1:1">
      <c r="A1202" s="80"/>
    </row>
    <row r="1203" spans="1:1">
      <c r="A1203" s="80"/>
    </row>
    <row r="1204" spans="1:1">
      <c r="A1204" s="80"/>
    </row>
    <row r="1205" spans="1:1">
      <c r="A1205" s="80"/>
    </row>
    <row r="1206" spans="1:1">
      <c r="A1206" s="80"/>
    </row>
    <row r="1207" spans="1:1">
      <c r="A1207" s="80"/>
    </row>
    <row r="1208" spans="1:1">
      <c r="A1208" s="80"/>
    </row>
    <row r="1209" spans="1:1">
      <c r="A1209" s="80"/>
    </row>
    <row r="1210" spans="1:1">
      <c r="A1210" s="80"/>
    </row>
    <row r="1211" spans="1:1">
      <c r="A1211" s="80"/>
    </row>
    <row r="1212" spans="1:1">
      <c r="A1212" s="80"/>
    </row>
    <row r="1213" spans="1:1">
      <c r="A1213" s="80"/>
    </row>
    <row r="1214" spans="1:1">
      <c r="A1214" s="80"/>
    </row>
    <row r="1215" spans="1:1">
      <c r="A1215" s="80"/>
    </row>
    <row r="1216" spans="1:1">
      <c r="A1216" s="80"/>
    </row>
    <row r="1217" spans="1:1">
      <c r="A1217" s="80"/>
    </row>
    <row r="1218" spans="1:1">
      <c r="A1218" s="80"/>
    </row>
    <row r="1219" spans="1:1">
      <c r="A1219" s="80"/>
    </row>
    <row r="1220" spans="1:1">
      <c r="A1220" s="80"/>
    </row>
    <row r="1221" spans="1:1">
      <c r="A1221" s="80"/>
    </row>
    <row r="1222" spans="1:1">
      <c r="A1222" s="80"/>
    </row>
    <row r="1223" spans="1:1">
      <c r="A1223" s="80"/>
    </row>
    <row r="1224" spans="1:1">
      <c r="A1224" s="80"/>
    </row>
    <row r="1225" spans="1:1">
      <c r="A1225" s="80"/>
    </row>
    <row r="1226" spans="1:1">
      <c r="A1226" s="80"/>
    </row>
    <row r="1227" spans="1:1">
      <c r="A1227" s="80"/>
    </row>
    <row r="1228" spans="1:1">
      <c r="A1228" s="80"/>
    </row>
    <row r="1229" spans="1:1">
      <c r="A1229" s="80"/>
    </row>
    <row r="1230" spans="1:1">
      <c r="A1230" s="80"/>
    </row>
    <row r="1231" spans="1:1">
      <c r="A1231" s="80"/>
    </row>
    <row r="1232" spans="1:1">
      <c r="A1232" s="80"/>
    </row>
    <row r="1233" spans="1:1">
      <c r="A1233" s="80"/>
    </row>
    <row r="1234" spans="1:1">
      <c r="A1234" s="80"/>
    </row>
    <row r="1235" spans="1:1">
      <c r="A1235" s="80"/>
    </row>
    <row r="1236" spans="1:1">
      <c r="A1236" s="80"/>
    </row>
    <row r="1237" spans="1:1">
      <c r="A1237" s="80"/>
    </row>
    <row r="1238" spans="1:1">
      <c r="A1238" s="80"/>
    </row>
    <row r="1239" spans="1:1">
      <c r="A1239" s="80"/>
    </row>
    <row r="1240" spans="1:1">
      <c r="A1240" s="80"/>
    </row>
    <row r="1241" spans="1:1">
      <c r="A1241" s="80"/>
    </row>
    <row r="1242" spans="1:1">
      <c r="A1242" s="80"/>
    </row>
    <row r="1243" spans="1:1">
      <c r="A1243" s="80"/>
    </row>
    <row r="1244" spans="1:1">
      <c r="A1244" s="80"/>
    </row>
    <row r="1245" spans="1:1">
      <c r="A1245" s="80"/>
    </row>
    <row r="1246" spans="1:1">
      <c r="A1246" s="80"/>
    </row>
    <row r="1247" spans="1:1">
      <c r="A1247" s="80"/>
    </row>
    <row r="1248" spans="1:1">
      <c r="A1248" s="80"/>
    </row>
    <row r="1249" spans="1:1">
      <c r="A1249" s="80"/>
    </row>
    <row r="1250" spans="1:1">
      <c r="A1250" s="80"/>
    </row>
    <row r="1251" spans="1:1">
      <c r="A1251" s="80"/>
    </row>
    <row r="1252" spans="1:1">
      <c r="A1252" s="80"/>
    </row>
    <row r="1253" spans="1:1">
      <c r="A1253" s="80"/>
    </row>
    <row r="1254" spans="1:1">
      <c r="A1254" s="80"/>
    </row>
    <row r="1255" spans="1:1">
      <c r="A1255" s="80"/>
    </row>
    <row r="1256" spans="1:1">
      <c r="A1256" s="80"/>
    </row>
    <row r="1257" spans="1:1">
      <c r="A1257" s="80"/>
    </row>
    <row r="1258" spans="1:1">
      <c r="A1258" s="80"/>
    </row>
    <row r="1259" spans="1:1">
      <c r="A1259" s="80"/>
    </row>
    <row r="1260" spans="1:1">
      <c r="A1260" s="80"/>
    </row>
    <row r="1261" spans="1:1">
      <c r="A1261" s="80"/>
    </row>
    <row r="1262" spans="1:1">
      <c r="A1262" s="80"/>
    </row>
    <row r="1263" spans="1:1">
      <c r="A1263" s="80"/>
    </row>
    <row r="1264" spans="1:1">
      <c r="A1264" s="80"/>
    </row>
    <row r="1265" spans="1:1">
      <c r="A1265" s="80"/>
    </row>
    <row r="1266" spans="1:1">
      <c r="A1266" s="80"/>
    </row>
    <row r="1267" spans="1:1">
      <c r="A1267" s="80"/>
    </row>
    <row r="1268" spans="1:1">
      <c r="A1268" s="80"/>
    </row>
    <row r="1269" spans="1:1">
      <c r="A1269" s="80"/>
    </row>
    <row r="1270" spans="1:1">
      <c r="A1270" s="80"/>
    </row>
    <row r="1271" spans="1:1">
      <c r="A1271" s="80"/>
    </row>
    <row r="1272" spans="1:1">
      <c r="A1272" s="80"/>
    </row>
    <row r="1273" spans="1:1">
      <c r="A1273" s="80"/>
    </row>
    <row r="1274" spans="1:1">
      <c r="A1274" s="80"/>
    </row>
    <row r="1275" spans="1:1">
      <c r="A1275" s="80"/>
    </row>
    <row r="1276" spans="1:1">
      <c r="A1276" s="80"/>
    </row>
    <row r="1277" spans="1:1">
      <c r="A1277" s="80"/>
    </row>
    <row r="1278" spans="1:1">
      <c r="A1278" s="80"/>
    </row>
    <row r="1279" spans="1:1">
      <c r="A1279" s="80"/>
    </row>
    <row r="1280" spans="1:1">
      <c r="A1280" s="80"/>
    </row>
    <row r="1281" spans="1:1">
      <c r="A1281" s="80"/>
    </row>
    <row r="1282" spans="1:1">
      <c r="A1282" s="80"/>
    </row>
    <row r="1283" spans="1:1">
      <c r="A1283" s="80"/>
    </row>
    <row r="1284" spans="1:1">
      <c r="A1284" s="80"/>
    </row>
    <row r="1285" spans="1:1">
      <c r="A1285" s="80"/>
    </row>
    <row r="1286" spans="1:1">
      <c r="A1286" s="80"/>
    </row>
    <row r="1287" spans="1:1">
      <c r="A1287" s="80"/>
    </row>
    <row r="1288" spans="1:1">
      <c r="A1288" s="80"/>
    </row>
    <row r="1289" spans="1:1">
      <c r="A1289" s="80"/>
    </row>
    <row r="1290" spans="1:1">
      <c r="A1290" s="80"/>
    </row>
    <row r="1291" spans="1:1">
      <c r="A1291" s="80"/>
    </row>
    <row r="1292" spans="1:1">
      <c r="A1292" s="80"/>
    </row>
    <row r="1293" spans="1:1">
      <c r="A1293" s="80"/>
    </row>
    <row r="1294" spans="1:1">
      <c r="A1294" s="80"/>
    </row>
    <row r="1295" spans="1:1">
      <c r="A1295" s="80"/>
    </row>
    <row r="1296" spans="1:1">
      <c r="A1296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1"/>
  <pageSetup paperSize="9" scale="70" fitToWidth="0" fitToHeight="0" orientation="landscape" r:id="rId1"/>
  <headerFooter alignWithMargins="0">
    <oddFooter>Page &amp;P of &amp;N</oddFooter>
  </headerFooter>
  <rowBreaks count="3" manualBreakCount="3">
    <brk id="56" max="16" man="1"/>
    <brk id="110" max="16" man="1"/>
    <brk id="155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1227"/>
  <sheetViews>
    <sheetView showRuler="0" zoomScaleSheetLayoutView="100" workbookViewId="0">
      <pane xSplit="1" ySplit="8" topLeftCell="B48" activePane="bottomRight" state="frozen"/>
      <selection activeCell="A155" sqref="A155:Q155"/>
      <selection pane="topRight" activeCell="A155" sqref="A155:Q155"/>
      <selection pane="bottomLeft" activeCell="A155" sqref="A155:Q155"/>
      <selection pane="bottomRight" activeCell="A155" sqref="A155:Q155"/>
    </sheetView>
  </sheetViews>
  <sheetFormatPr defaultRowHeight="12.75"/>
  <cols>
    <col min="1" max="1" width="36.85546875" style="81" customWidth="1"/>
    <col min="2" max="2" width="13.42578125" style="5" bestFit="1" customWidth="1"/>
    <col min="3" max="3" width="12" style="5" bestFit="1" customWidth="1"/>
    <col min="4" max="4" width="7.4257812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7.4257812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7.71093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58" t="s">
        <v>132</v>
      </c>
      <c r="B10" s="17">
        <f t="shared" ref="B10:P10" si="0">+B11+B15+B16</f>
        <v>3884005</v>
      </c>
      <c r="C10" s="17">
        <f t="shared" si="0"/>
        <v>98509599</v>
      </c>
      <c r="D10" s="17">
        <f t="shared" si="0"/>
        <v>550000</v>
      </c>
      <c r="E10" s="17">
        <f t="shared" si="0"/>
        <v>591517</v>
      </c>
      <c r="F10" s="17">
        <f t="shared" si="0"/>
        <v>103535121</v>
      </c>
      <c r="G10" s="17">
        <f t="shared" si="0"/>
        <v>3505927</v>
      </c>
      <c r="H10" s="17">
        <f t="shared" si="0"/>
        <v>83132519</v>
      </c>
      <c r="I10" s="17">
        <f t="shared" si="0"/>
        <v>548338</v>
      </c>
      <c r="J10" s="17">
        <f t="shared" si="0"/>
        <v>240224</v>
      </c>
      <c r="K10" s="17">
        <f t="shared" si="0"/>
        <v>87427008</v>
      </c>
      <c r="L10" s="17">
        <f t="shared" si="0"/>
        <v>378078</v>
      </c>
      <c r="M10" s="17">
        <f t="shared" si="0"/>
        <v>15377080</v>
      </c>
      <c r="N10" s="17">
        <f t="shared" si="0"/>
        <v>1662</v>
      </c>
      <c r="O10" s="17">
        <f t="shared" si="0"/>
        <v>351293</v>
      </c>
      <c r="P10" s="17">
        <f t="shared" si="0"/>
        <v>16108113</v>
      </c>
      <c r="Q10" s="18">
        <f>+K10/F10</f>
        <v>0.84441885184062326</v>
      </c>
    </row>
    <row r="11" spans="1:18" ht="12.75" customHeight="1">
      <c r="A11" s="58" t="s">
        <v>15</v>
      </c>
      <c r="B11" s="20">
        <f t="shared" ref="B11:P11" si="1">+B12+B13+B14</f>
        <v>3884005</v>
      </c>
      <c r="C11" s="20">
        <f t="shared" si="1"/>
        <v>90257255</v>
      </c>
      <c r="D11" s="20">
        <f t="shared" si="1"/>
        <v>550000</v>
      </c>
      <c r="E11" s="20">
        <f t="shared" si="1"/>
        <v>465066</v>
      </c>
      <c r="F11" s="20">
        <f t="shared" si="1"/>
        <v>95156326</v>
      </c>
      <c r="G11" s="20">
        <f t="shared" si="1"/>
        <v>3505927</v>
      </c>
      <c r="H11" s="20">
        <f t="shared" si="1"/>
        <v>78239880</v>
      </c>
      <c r="I11" s="20">
        <f t="shared" si="1"/>
        <v>548338</v>
      </c>
      <c r="J11" s="20">
        <f t="shared" si="1"/>
        <v>114148</v>
      </c>
      <c r="K11" s="20">
        <f t="shared" si="1"/>
        <v>82408293</v>
      </c>
      <c r="L11" s="20">
        <f t="shared" si="1"/>
        <v>378078</v>
      </c>
      <c r="M11" s="20">
        <f t="shared" si="1"/>
        <v>12017375</v>
      </c>
      <c r="N11" s="20">
        <f t="shared" si="1"/>
        <v>1662</v>
      </c>
      <c r="O11" s="20">
        <f t="shared" si="1"/>
        <v>350918</v>
      </c>
      <c r="P11" s="21">
        <f t="shared" si="1"/>
        <v>12748033</v>
      </c>
      <c r="Q11" s="18"/>
    </row>
    <row r="12" spans="1:18" ht="12.75" customHeight="1">
      <c r="A12" s="22" t="s">
        <v>16</v>
      </c>
      <c r="B12" s="23">
        <f>+B22+B32+B41+B50+B59+B68</f>
        <v>3641511</v>
      </c>
      <c r="C12" s="23">
        <f t="shared" ref="C12:E14" si="2">+C22+C32+C41+C50+C59+C68</f>
        <v>82475756</v>
      </c>
      <c r="D12" s="23">
        <f t="shared" si="2"/>
        <v>550000</v>
      </c>
      <c r="E12" s="23">
        <f t="shared" si="2"/>
        <v>411211</v>
      </c>
      <c r="F12" s="24">
        <f>SUM(B12:E12)</f>
        <v>87078478</v>
      </c>
      <c r="G12" s="23">
        <f>+G22+G32+G41+G50+G59+G68</f>
        <v>3405107</v>
      </c>
      <c r="H12" s="23">
        <f t="shared" ref="H12:J12" si="3">+H22+H32+H41+H50+H59+H68</f>
        <v>72999375</v>
      </c>
      <c r="I12" s="23">
        <f t="shared" si="3"/>
        <v>548338</v>
      </c>
      <c r="J12" s="23">
        <f t="shared" si="3"/>
        <v>75179</v>
      </c>
      <c r="K12" s="24">
        <f>SUM(G12:J12)</f>
        <v>77027999</v>
      </c>
      <c r="L12" s="25">
        <f t="shared" ref="L12:N15" si="4">+B12-G12</f>
        <v>236404</v>
      </c>
      <c r="M12" s="25">
        <f t="shared" si="4"/>
        <v>9476381</v>
      </c>
      <c r="N12" s="25">
        <f t="shared" si="4"/>
        <v>1662</v>
      </c>
      <c r="O12" s="25">
        <f>+E12-J12</f>
        <v>336032</v>
      </c>
      <c r="P12" s="26">
        <f>SUM(L12:O12)</f>
        <v>10050479</v>
      </c>
      <c r="Q12" s="18"/>
    </row>
    <row r="13" spans="1:18" ht="12.75" customHeight="1">
      <c r="A13" s="22" t="s">
        <v>17</v>
      </c>
      <c r="B13" s="23">
        <f>+B23+B33+B42+B51+B60+B69</f>
        <v>145384</v>
      </c>
      <c r="C13" s="23">
        <f t="shared" si="2"/>
        <v>7478981</v>
      </c>
      <c r="D13" s="23">
        <f t="shared" si="2"/>
        <v>0</v>
      </c>
      <c r="E13" s="23">
        <f t="shared" si="2"/>
        <v>50000</v>
      </c>
      <c r="F13" s="24">
        <f>SUM(B13:E13)</f>
        <v>7674365</v>
      </c>
      <c r="G13" s="23">
        <f>+G23+G33+G42+G51+G60+G69</f>
        <v>7073</v>
      </c>
      <c r="H13" s="23">
        <f t="shared" ref="H13:J13" si="5">+H23+H33+H42+H51+H60+H69</f>
        <v>5086819</v>
      </c>
      <c r="I13" s="23">
        <f t="shared" si="5"/>
        <v>0</v>
      </c>
      <c r="J13" s="23">
        <f t="shared" si="5"/>
        <v>36357</v>
      </c>
      <c r="K13" s="24">
        <f>SUM(G13:J13)</f>
        <v>5130249</v>
      </c>
      <c r="L13" s="25">
        <f t="shared" si="4"/>
        <v>138311</v>
      </c>
      <c r="M13" s="25">
        <f t="shared" si="4"/>
        <v>2392162</v>
      </c>
      <c r="N13" s="25"/>
      <c r="O13" s="25">
        <f>+E13-J13</f>
        <v>13643</v>
      </c>
      <c r="P13" s="26">
        <f>SUM(L13:O13)</f>
        <v>2544116</v>
      </c>
      <c r="Q13" s="18"/>
    </row>
    <row r="14" spans="1:18" ht="12.75" customHeight="1">
      <c r="A14" s="22" t="s">
        <v>18</v>
      </c>
      <c r="B14" s="23">
        <f>+B24+B34+B43+B52+B61+B70</f>
        <v>97110</v>
      </c>
      <c r="C14" s="23">
        <f t="shared" si="2"/>
        <v>302518</v>
      </c>
      <c r="D14" s="23">
        <f t="shared" si="2"/>
        <v>0</v>
      </c>
      <c r="E14" s="23">
        <f t="shared" si="2"/>
        <v>3855</v>
      </c>
      <c r="F14" s="24">
        <f>SUM(B14:E14)</f>
        <v>403483</v>
      </c>
      <c r="G14" s="23">
        <f>+G24+G34+G43+G52+G61+G70</f>
        <v>93747</v>
      </c>
      <c r="H14" s="23">
        <f t="shared" ref="H14:J14" si="6">+H24+H34+H43+H52+H61+H70</f>
        <v>153686</v>
      </c>
      <c r="I14" s="23">
        <f t="shared" si="6"/>
        <v>0</v>
      </c>
      <c r="J14" s="23">
        <f t="shared" si="6"/>
        <v>2612</v>
      </c>
      <c r="K14" s="24">
        <f>SUM(G14:J14)</f>
        <v>250045</v>
      </c>
      <c r="L14" s="25">
        <f t="shared" si="4"/>
        <v>3363</v>
      </c>
      <c r="M14" s="25">
        <f t="shared" si="4"/>
        <v>148832</v>
      </c>
      <c r="N14" s="25"/>
      <c r="O14" s="25">
        <f>+E14-J14</f>
        <v>1243</v>
      </c>
      <c r="P14" s="26">
        <f>SUM(L14:O14)</f>
        <v>153438</v>
      </c>
      <c r="Q14" s="18"/>
    </row>
    <row r="15" spans="1:18" ht="12.75" customHeight="1">
      <c r="A15" s="22" t="s">
        <v>30</v>
      </c>
      <c r="B15" s="23">
        <f t="shared" ref="B15:K15" si="7">+B25</f>
        <v>0</v>
      </c>
      <c r="C15" s="23">
        <f t="shared" si="7"/>
        <v>3274200</v>
      </c>
      <c r="D15" s="23">
        <f t="shared" si="7"/>
        <v>0</v>
      </c>
      <c r="E15" s="23">
        <f t="shared" si="7"/>
        <v>125800</v>
      </c>
      <c r="F15" s="23">
        <f t="shared" si="7"/>
        <v>3400000</v>
      </c>
      <c r="G15" s="23">
        <f t="shared" ref="G15:J15" si="8">+G25</f>
        <v>0</v>
      </c>
      <c r="H15" s="23">
        <f t="shared" si="8"/>
        <v>0</v>
      </c>
      <c r="I15" s="23">
        <f t="shared" si="8"/>
        <v>0</v>
      </c>
      <c r="J15" s="23">
        <f t="shared" si="8"/>
        <v>125800</v>
      </c>
      <c r="K15" s="23">
        <f t="shared" si="7"/>
        <v>125800</v>
      </c>
      <c r="L15" s="25">
        <f t="shared" si="4"/>
        <v>0</v>
      </c>
      <c r="M15" s="25">
        <f t="shared" si="4"/>
        <v>3274200</v>
      </c>
      <c r="N15" s="25"/>
      <c r="O15" s="25">
        <f>+E15-J15</f>
        <v>0</v>
      </c>
      <c r="P15" s="26">
        <f>SUM(L15:O15)</f>
        <v>3274200</v>
      </c>
      <c r="Q15" s="18"/>
    </row>
    <row r="16" spans="1:18" ht="12.75" customHeight="1">
      <c r="A16" s="22" t="s">
        <v>19</v>
      </c>
      <c r="B16" s="44">
        <f t="shared" ref="B16:P16" si="9">+B17+B18</f>
        <v>0</v>
      </c>
      <c r="C16" s="44">
        <f t="shared" si="9"/>
        <v>4978144</v>
      </c>
      <c r="D16" s="44">
        <f t="shared" si="9"/>
        <v>0</v>
      </c>
      <c r="E16" s="45">
        <f t="shared" si="9"/>
        <v>651</v>
      </c>
      <c r="F16" s="44">
        <f t="shared" si="9"/>
        <v>4978795</v>
      </c>
      <c r="G16" s="44">
        <f t="shared" ref="G16:J16" si="10">+G17+G18</f>
        <v>0</v>
      </c>
      <c r="H16" s="44">
        <f t="shared" si="10"/>
        <v>4892639</v>
      </c>
      <c r="I16" s="44">
        <f t="shared" si="10"/>
        <v>0</v>
      </c>
      <c r="J16" s="45">
        <f t="shared" si="10"/>
        <v>276</v>
      </c>
      <c r="K16" s="44">
        <f t="shared" si="9"/>
        <v>4892915</v>
      </c>
      <c r="L16" s="44">
        <f t="shared" si="9"/>
        <v>0</v>
      </c>
      <c r="M16" s="44">
        <f t="shared" si="9"/>
        <v>85505</v>
      </c>
      <c r="N16" s="44"/>
      <c r="O16" s="44">
        <f t="shared" si="9"/>
        <v>375</v>
      </c>
      <c r="P16" s="45">
        <f t="shared" si="9"/>
        <v>85880</v>
      </c>
      <c r="Q16" s="18"/>
    </row>
    <row r="17" spans="1:17" ht="12.75" customHeight="1">
      <c r="A17" s="22" t="s">
        <v>20</v>
      </c>
      <c r="B17" s="23">
        <f>+B27+B36+B45+B54+B63+B72</f>
        <v>0</v>
      </c>
      <c r="C17" s="23">
        <f t="shared" ref="C17:E18" si="11">+C27+C36+C45+C54+C63+C72</f>
        <v>4555266</v>
      </c>
      <c r="D17" s="23">
        <f t="shared" si="11"/>
        <v>0</v>
      </c>
      <c r="E17" s="23">
        <f t="shared" si="11"/>
        <v>651</v>
      </c>
      <c r="F17" s="24">
        <f>SUM(B17:E17)</f>
        <v>4555917</v>
      </c>
      <c r="G17" s="23">
        <f>+G27+G36+G45+G54+G63+G72</f>
        <v>0</v>
      </c>
      <c r="H17" s="23">
        <f t="shared" ref="H17:J17" si="12">+H27+H36+H45+H54+H63+H72</f>
        <v>4552638</v>
      </c>
      <c r="I17" s="23">
        <f t="shared" si="12"/>
        <v>0</v>
      </c>
      <c r="J17" s="23">
        <f t="shared" si="12"/>
        <v>276</v>
      </c>
      <c r="K17" s="24">
        <f>SUM(G17:J17)</f>
        <v>4552914</v>
      </c>
      <c r="L17" s="25">
        <f>+B17-G17</f>
        <v>0</v>
      </c>
      <c r="M17" s="25">
        <f>+C17-H17</f>
        <v>2628</v>
      </c>
      <c r="N17" s="25"/>
      <c r="O17" s="25">
        <f>+E17-J17</f>
        <v>375</v>
      </c>
      <c r="P17" s="26">
        <f>SUM(L17:O17)</f>
        <v>3003</v>
      </c>
      <c r="Q17" s="18"/>
    </row>
    <row r="18" spans="1:17" ht="12.75" customHeight="1">
      <c r="A18" s="22" t="s">
        <v>21</v>
      </c>
      <c r="B18" s="23">
        <f>+B28+B37+B46+B55+B64+B73</f>
        <v>0</v>
      </c>
      <c r="C18" s="23">
        <f t="shared" si="11"/>
        <v>422878</v>
      </c>
      <c r="D18" s="23">
        <f t="shared" si="11"/>
        <v>0</v>
      </c>
      <c r="E18" s="23">
        <f t="shared" si="11"/>
        <v>0</v>
      </c>
      <c r="F18" s="26">
        <f>SUM(B18:E18)</f>
        <v>422878</v>
      </c>
      <c r="G18" s="23">
        <f>+G28+G37+G46+G55+G64+G73</f>
        <v>0</v>
      </c>
      <c r="H18" s="23">
        <f t="shared" ref="H18:J18" si="13">+H28+H37+H46+H55+H64+H73</f>
        <v>340001</v>
      </c>
      <c r="I18" s="23">
        <f t="shared" si="13"/>
        <v>0</v>
      </c>
      <c r="J18" s="23">
        <f t="shared" si="13"/>
        <v>0</v>
      </c>
      <c r="K18" s="26">
        <f>SUM(G18:J18)</f>
        <v>340001</v>
      </c>
      <c r="L18" s="25">
        <f>+B18-G18</f>
        <v>0</v>
      </c>
      <c r="M18" s="25">
        <f>+C18-H18</f>
        <v>82877</v>
      </c>
      <c r="N18" s="25"/>
      <c r="O18" s="25">
        <f>+E18-J18</f>
        <v>0</v>
      </c>
      <c r="P18" s="26">
        <f>SUM(L18:O18)</f>
        <v>82877</v>
      </c>
      <c r="Q18" s="18"/>
    </row>
    <row r="19" spans="1:17" ht="12.75" customHeight="1">
      <c r="A19" s="22"/>
      <c r="B19" s="25"/>
      <c r="C19" s="25"/>
      <c r="D19" s="25"/>
      <c r="E19" s="25"/>
      <c r="F19" s="24"/>
      <c r="G19" s="25"/>
      <c r="H19" s="25"/>
      <c r="I19" s="25"/>
      <c r="J19" s="25"/>
      <c r="K19" s="24"/>
      <c r="L19" s="25"/>
      <c r="M19" s="25"/>
      <c r="N19" s="25"/>
      <c r="O19" s="25"/>
      <c r="P19" s="26"/>
      <c r="Q19" s="18"/>
    </row>
    <row r="20" spans="1:17" ht="12.75" customHeight="1">
      <c r="A20" s="57" t="s">
        <v>31</v>
      </c>
      <c r="B20" s="17">
        <f t="shared" ref="B20:K20" si="14">+B21+B25+B26</f>
        <v>3769547</v>
      </c>
      <c r="C20" s="17">
        <f t="shared" si="14"/>
        <v>98397316</v>
      </c>
      <c r="D20" s="17">
        <f t="shared" si="14"/>
        <v>550000</v>
      </c>
      <c r="E20" s="17">
        <f t="shared" si="14"/>
        <v>590597</v>
      </c>
      <c r="F20" s="17">
        <f t="shared" si="14"/>
        <v>103307460</v>
      </c>
      <c r="G20" s="17">
        <f t="shared" si="14"/>
        <v>3401292</v>
      </c>
      <c r="H20" s="17">
        <f t="shared" si="14"/>
        <v>83033023</v>
      </c>
      <c r="I20" s="17">
        <f t="shared" si="14"/>
        <v>548338</v>
      </c>
      <c r="J20" s="17">
        <f t="shared" si="14"/>
        <v>239336</v>
      </c>
      <c r="K20" s="17">
        <f t="shared" si="14"/>
        <v>87221989</v>
      </c>
      <c r="L20" s="17">
        <f t="shared" ref="L20:P20" si="15">+L21+L25+L26</f>
        <v>368255</v>
      </c>
      <c r="M20" s="17">
        <f t="shared" si="15"/>
        <v>15364293</v>
      </c>
      <c r="N20" s="17">
        <f t="shared" si="15"/>
        <v>1662</v>
      </c>
      <c r="O20" s="17">
        <f t="shared" si="15"/>
        <v>351261</v>
      </c>
      <c r="P20" s="17">
        <f t="shared" si="15"/>
        <v>16085471</v>
      </c>
      <c r="Q20" s="18">
        <f>+K20/F20</f>
        <v>0.84429516513134673</v>
      </c>
    </row>
    <row r="21" spans="1:17" ht="12.75" customHeight="1">
      <c r="A21" s="58" t="s">
        <v>15</v>
      </c>
      <c r="B21" s="20">
        <f t="shared" ref="B21:K21" si="16">+B22+B23+B24</f>
        <v>3769547</v>
      </c>
      <c r="C21" s="20">
        <f t="shared" si="16"/>
        <v>90147600</v>
      </c>
      <c r="D21" s="20">
        <f t="shared" si="16"/>
        <v>550000</v>
      </c>
      <c r="E21" s="20">
        <f t="shared" si="16"/>
        <v>464168</v>
      </c>
      <c r="F21" s="20">
        <f t="shared" si="16"/>
        <v>94931315</v>
      </c>
      <c r="G21" s="20">
        <f>G25+G22+G23+G24</f>
        <v>3401292</v>
      </c>
      <c r="H21" s="20">
        <f t="shared" si="16"/>
        <v>78140384</v>
      </c>
      <c r="I21" s="20">
        <f t="shared" si="16"/>
        <v>548338</v>
      </c>
      <c r="J21" s="20">
        <f t="shared" si="16"/>
        <v>113260</v>
      </c>
      <c r="K21" s="20">
        <f t="shared" si="16"/>
        <v>82203274</v>
      </c>
      <c r="L21" s="20">
        <f t="shared" ref="L21:P21" si="17">+L22+L23+L24</f>
        <v>368255</v>
      </c>
      <c r="M21" s="20">
        <f t="shared" si="17"/>
        <v>12007216</v>
      </c>
      <c r="N21" s="20">
        <f t="shared" si="17"/>
        <v>1662</v>
      </c>
      <c r="O21" s="20">
        <f t="shared" si="17"/>
        <v>350908</v>
      </c>
      <c r="P21" s="21">
        <f t="shared" si="17"/>
        <v>12728041</v>
      </c>
      <c r="Q21" s="18"/>
    </row>
    <row r="22" spans="1:17" ht="12.75" customHeight="1">
      <c r="A22" s="22" t="s">
        <v>16</v>
      </c>
      <c r="B22" s="29">
        <v>3548775</v>
      </c>
      <c r="C22" s="29">
        <v>82372098</v>
      </c>
      <c r="D22" s="29">
        <v>550000</v>
      </c>
      <c r="E22" s="30">
        <v>410313</v>
      </c>
      <c r="F22" s="24">
        <f>SUM(B22:E22)</f>
        <v>86881186</v>
      </c>
      <c r="G22" s="29">
        <v>3315608</v>
      </c>
      <c r="H22" s="29">
        <v>72904981</v>
      </c>
      <c r="I22" s="29">
        <v>548338</v>
      </c>
      <c r="J22" s="29">
        <v>74291</v>
      </c>
      <c r="K22" s="24">
        <f>SUM(G22:J22)</f>
        <v>76843218</v>
      </c>
      <c r="L22" s="25">
        <f t="shared" ref="L22:N25" si="18">+B22-G22</f>
        <v>233167</v>
      </c>
      <c r="M22" s="25">
        <f t="shared" si="18"/>
        <v>9467117</v>
      </c>
      <c r="N22" s="25">
        <f t="shared" si="18"/>
        <v>1662</v>
      </c>
      <c r="O22" s="25">
        <f>+E22-J22</f>
        <v>336022</v>
      </c>
      <c r="P22" s="26">
        <f>SUM(L22:O22)</f>
        <v>10037968</v>
      </c>
      <c r="Q22" s="18"/>
    </row>
    <row r="23" spans="1:17" ht="12.75" customHeight="1">
      <c r="A23" s="22" t="s">
        <v>17</v>
      </c>
      <c r="B23" s="29">
        <f>132684</f>
        <v>132684</v>
      </c>
      <c r="C23" s="29">
        <f>5734592+1738392</f>
        <v>7472984</v>
      </c>
      <c r="D23" s="29"/>
      <c r="E23" s="30">
        <v>50000</v>
      </c>
      <c r="F23" s="24">
        <f>SUM(B23:E23)</f>
        <v>7655668</v>
      </c>
      <c r="G23" s="29"/>
      <c r="H23" s="29">
        <f>1370445+3711272</f>
        <v>5081717</v>
      </c>
      <c r="I23" s="29"/>
      <c r="J23" s="29">
        <v>36357</v>
      </c>
      <c r="K23" s="24">
        <f>SUM(G23:J23)</f>
        <v>5118074</v>
      </c>
      <c r="L23" s="25">
        <f t="shared" si="18"/>
        <v>132684</v>
      </c>
      <c r="M23" s="25">
        <f t="shared" si="18"/>
        <v>2391267</v>
      </c>
      <c r="N23" s="25"/>
      <c r="O23" s="25">
        <f>+E23-J23</f>
        <v>13643</v>
      </c>
      <c r="P23" s="26">
        <f>SUM(L23:O23)</f>
        <v>2537594</v>
      </c>
      <c r="Q23" s="18"/>
    </row>
    <row r="24" spans="1:17" ht="12.75" customHeight="1">
      <c r="A24" s="22" t="s">
        <v>18</v>
      </c>
      <c r="B24" s="29">
        <v>88088</v>
      </c>
      <c r="C24" s="29">
        <v>302518</v>
      </c>
      <c r="D24" s="29"/>
      <c r="E24" s="30">
        <v>3855</v>
      </c>
      <c r="F24" s="24">
        <f>SUM(B24:E24)</f>
        <v>394461</v>
      </c>
      <c r="G24" s="29">
        <v>85684</v>
      </c>
      <c r="H24" s="29">
        <v>153686</v>
      </c>
      <c r="I24" s="29"/>
      <c r="J24" s="29">
        <v>2612</v>
      </c>
      <c r="K24" s="24">
        <f>SUM(G24:J24)</f>
        <v>241982</v>
      </c>
      <c r="L24" s="25">
        <f t="shared" si="18"/>
        <v>2404</v>
      </c>
      <c r="M24" s="25">
        <f t="shared" si="18"/>
        <v>148832</v>
      </c>
      <c r="N24" s="25"/>
      <c r="O24" s="25">
        <f>+E24-J24</f>
        <v>1243</v>
      </c>
      <c r="P24" s="26">
        <f>SUM(L24:O24)</f>
        <v>152479</v>
      </c>
      <c r="Q24" s="18"/>
    </row>
    <row r="25" spans="1:17" ht="12.75" customHeight="1">
      <c r="A25" s="22" t="s">
        <v>30</v>
      </c>
      <c r="B25" s="29"/>
      <c r="C25" s="29">
        <v>3274200</v>
      </c>
      <c r="D25" s="29"/>
      <c r="E25" s="30">
        <v>125800</v>
      </c>
      <c r="F25" s="24">
        <f>SUM(B25:E25)</f>
        <v>3400000</v>
      </c>
      <c r="G25" s="29"/>
      <c r="H25" s="29"/>
      <c r="I25" s="29"/>
      <c r="J25" s="29">
        <v>125800</v>
      </c>
      <c r="K25" s="24">
        <f>SUM(G25:J25)</f>
        <v>125800</v>
      </c>
      <c r="L25" s="25">
        <f t="shared" si="18"/>
        <v>0</v>
      </c>
      <c r="M25" s="25">
        <f t="shared" si="18"/>
        <v>3274200</v>
      </c>
      <c r="N25" s="25"/>
      <c r="O25" s="25">
        <f>+E25-J25</f>
        <v>0</v>
      </c>
      <c r="P25" s="26">
        <f>SUM(L25:O25)</f>
        <v>3274200</v>
      </c>
      <c r="Q25" s="18"/>
    </row>
    <row r="26" spans="1:17" ht="12.75" customHeight="1">
      <c r="A26" s="22" t="s">
        <v>19</v>
      </c>
      <c r="B26" s="27">
        <f t="shared" ref="B26:K26" si="19">+B27+B28</f>
        <v>0</v>
      </c>
      <c r="C26" s="27">
        <f t="shared" si="19"/>
        <v>4975516</v>
      </c>
      <c r="D26" s="27">
        <f t="shared" si="19"/>
        <v>0</v>
      </c>
      <c r="E26" s="27">
        <f t="shared" si="19"/>
        <v>629</v>
      </c>
      <c r="F26" s="27">
        <f t="shared" si="19"/>
        <v>4976145</v>
      </c>
      <c r="G26" s="44">
        <f t="shared" si="19"/>
        <v>0</v>
      </c>
      <c r="H26" s="44">
        <f t="shared" si="19"/>
        <v>4892639</v>
      </c>
      <c r="I26" s="44"/>
      <c r="J26" s="45">
        <f t="shared" si="19"/>
        <v>276</v>
      </c>
      <c r="K26" s="44">
        <f t="shared" si="19"/>
        <v>4892915</v>
      </c>
      <c r="L26" s="27">
        <f>+L27+L28</f>
        <v>0</v>
      </c>
      <c r="M26" s="27">
        <f>+M27+M28</f>
        <v>82877</v>
      </c>
      <c r="N26" s="27"/>
      <c r="O26" s="27">
        <f>+O27+O28</f>
        <v>353</v>
      </c>
      <c r="P26" s="28">
        <f>+P27+P28</f>
        <v>83230</v>
      </c>
      <c r="Q26" s="18"/>
    </row>
    <row r="27" spans="1:17" ht="12.75" customHeight="1">
      <c r="A27" s="22" t="s">
        <v>20</v>
      </c>
      <c r="B27" s="29"/>
      <c r="C27" s="29">
        <v>4552638</v>
      </c>
      <c r="D27" s="29"/>
      <c r="E27" s="30">
        <v>629</v>
      </c>
      <c r="F27" s="24">
        <f>SUM(B27:E27)</f>
        <v>4553267</v>
      </c>
      <c r="G27" s="29"/>
      <c r="H27" s="29">
        <f>1798775+2753863</f>
        <v>4552638</v>
      </c>
      <c r="I27" s="29"/>
      <c r="J27" s="29">
        <v>276</v>
      </c>
      <c r="K27" s="24">
        <f>SUM(G27:J27)</f>
        <v>4552914</v>
      </c>
      <c r="L27" s="25">
        <f>+B27-G27</f>
        <v>0</v>
      </c>
      <c r="M27" s="25">
        <f>+C27-H27</f>
        <v>0</v>
      </c>
      <c r="N27" s="25"/>
      <c r="O27" s="25">
        <f>+E27-J27</f>
        <v>353</v>
      </c>
      <c r="P27" s="26">
        <f>SUM(L27:O27)</f>
        <v>353</v>
      </c>
      <c r="Q27" s="18"/>
    </row>
    <row r="28" spans="1:17" ht="12.75" customHeight="1">
      <c r="A28" s="22" t="s">
        <v>21</v>
      </c>
      <c r="B28" s="29"/>
      <c r="C28" s="29">
        <v>422878</v>
      </c>
      <c r="D28" s="29"/>
      <c r="E28" s="30"/>
      <c r="F28" s="24">
        <f>SUM(B28:E28)</f>
        <v>422878</v>
      </c>
      <c r="G28" s="29"/>
      <c r="H28" s="29">
        <v>340001</v>
      </c>
      <c r="I28" s="29"/>
      <c r="J28" s="29"/>
      <c r="K28" s="24">
        <f>SUM(G28:J28)</f>
        <v>340001</v>
      </c>
      <c r="L28" s="25">
        <f>+B28-G28</f>
        <v>0</v>
      </c>
      <c r="M28" s="25">
        <f>+C28-H28</f>
        <v>82877</v>
      </c>
      <c r="N28" s="25"/>
      <c r="O28" s="25">
        <f>+E28-J28</f>
        <v>0</v>
      </c>
      <c r="P28" s="26">
        <f>SUM(L28:O28)</f>
        <v>82877</v>
      </c>
      <c r="Q28" s="18"/>
    </row>
    <row r="29" spans="1:17" ht="12.75" customHeight="1">
      <c r="A29" s="57"/>
      <c r="B29" s="25"/>
      <c r="C29" s="25"/>
      <c r="D29" s="25"/>
      <c r="E29" s="25"/>
      <c r="F29" s="24"/>
      <c r="G29" s="25"/>
      <c r="H29" s="25"/>
      <c r="I29" s="25"/>
      <c r="J29" s="25"/>
      <c r="K29" s="24"/>
      <c r="L29" s="25"/>
      <c r="M29" s="25"/>
      <c r="N29" s="25"/>
      <c r="O29" s="25"/>
      <c r="P29" s="26"/>
      <c r="Q29" s="18"/>
    </row>
    <row r="30" spans="1:17" ht="12.75" customHeight="1">
      <c r="A30" s="57" t="s">
        <v>133</v>
      </c>
      <c r="B30" s="17">
        <f t="shared" ref="B30:K30" si="20">+B31+B35</f>
        <v>18209</v>
      </c>
      <c r="C30" s="17">
        <f t="shared" si="20"/>
        <v>24069</v>
      </c>
      <c r="D30" s="17">
        <f t="shared" si="20"/>
        <v>0</v>
      </c>
      <c r="E30" s="17">
        <f t="shared" si="20"/>
        <v>355</v>
      </c>
      <c r="F30" s="17">
        <f t="shared" si="20"/>
        <v>42633</v>
      </c>
      <c r="G30" s="17">
        <f t="shared" si="20"/>
        <v>15600</v>
      </c>
      <c r="H30" s="17">
        <f t="shared" si="20"/>
        <v>23211</v>
      </c>
      <c r="I30" s="17">
        <f t="shared" si="20"/>
        <v>0</v>
      </c>
      <c r="J30" s="17">
        <f t="shared" si="20"/>
        <v>345</v>
      </c>
      <c r="K30" s="17">
        <f t="shared" si="20"/>
        <v>39156</v>
      </c>
      <c r="L30" s="17">
        <f t="shared" ref="L30:P30" si="21">+L31+L35</f>
        <v>2609</v>
      </c>
      <c r="M30" s="17">
        <f t="shared" si="21"/>
        <v>858</v>
      </c>
      <c r="N30" s="17"/>
      <c r="O30" s="17">
        <f t="shared" si="21"/>
        <v>10</v>
      </c>
      <c r="P30" s="17">
        <f t="shared" si="21"/>
        <v>3477</v>
      </c>
      <c r="Q30" s="18">
        <f>+K30/F30</f>
        <v>0.9184434592920977</v>
      </c>
    </row>
    <row r="31" spans="1:17" ht="12.75" customHeight="1">
      <c r="A31" s="58" t="s">
        <v>15</v>
      </c>
      <c r="B31" s="20">
        <f t="shared" ref="B31:K31" si="22">+B32+B33+B34</f>
        <v>18209</v>
      </c>
      <c r="C31" s="20">
        <f t="shared" si="22"/>
        <v>23700</v>
      </c>
      <c r="D31" s="20">
        <f t="shared" si="22"/>
        <v>0</v>
      </c>
      <c r="E31" s="20">
        <f t="shared" si="22"/>
        <v>354</v>
      </c>
      <c r="F31" s="20">
        <f t="shared" si="22"/>
        <v>42263</v>
      </c>
      <c r="G31" s="20">
        <f t="shared" si="22"/>
        <v>15600</v>
      </c>
      <c r="H31" s="20">
        <f t="shared" si="22"/>
        <v>23211</v>
      </c>
      <c r="I31" s="20">
        <f t="shared" si="22"/>
        <v>0</v>
      </c>
      <c r="J31" s="20">
        <f t="shared" si="22"/>
        <v>345</v>
      </c>
      <c r="K31" s="20">
        <f t="shared" si="22"/>
        <v>39156</v>
      </c>
      <c r="L31" s="20">
        <f t="shared" ref="L31:P31" si="23">+L32+L33+L34</f>
        <v>2609</v>
      </c>
      <c r="M31" s="20">
        <f t="shared" si="23"/>
        <v>489</v>
      </c>
      <c r="N31" s="20"/>
      <c r="O31" s="20">
        <f t="shared" si="23"/>
        <v>9</v>
      </c>
      <c r="P31" s="21">
        <f t="shared" si="23"/>
        <v>3107</v>
      </c>
      <c r="Q31" s="18"/>
    </row>
    <row r="32" spans="1:17" ht="12.75" customHeight="1">
      <c r="A32" s="22" t="s">
        <v>16</v>
      </c>
      <c r="B32" s="29">
        <v>14636</v>
      </c>
      <c r="C32" s="29">
        <v>23700</v>
      </c>
      <c r="D32" s="29"/>
      <c r="E32" s="30">
        <v>354</v>
      </c>
      <c r="F32" s="24">
        <f>SUM(B32:E32)</f>
        <v>38690</v>
      </c>
      <c r="G32" s="29">
        <v>12362</v>
      </c>
      <c r="H32" s="29">
        <v>23211</v>
      </c>
      <c r="I32" s="29"/>
      <c r="J32" s="29">
        <v>345</v>
      </c>
      <c r="K32" s="24">
        <f>SUM(G32:J32)</f>
        <v>35918</v>
      </c>
      <c r="L32" s="25">
        <f t="shared" ref="L32:M34" si="24">+B32-G32</f>
        <v>2274</v>
      </c>
      <c r="M32" s="25">
        <f t="shared" si="24"/>
        <v>489</v>
      </c>
      <c r="N32" s="25"/>
      <c r="O32" s="25">
        <f>+E32-J32</f>
        <v>9</v>
      </c>
      <c r="P32" s="26">
        <f>SUM(L32:O32)</f>
        <v>2772</v>
      </c>
      <c r="Q32" s="18"/>
    </row>
    <row r="33" spans="1:17" ht="12.75" customHeight="1">
      <c r="A33" s="22" t="s">
        <v>17</v>
      </c>
      <c r="B33" s="29">
        <v>2265</v>
      </c>
      <c r="C33" s="34"/>
      <c r="D33" s="34"/>
      <c r="E33" s="30"/>
      <c r="F33" s="24">
        <f>SUM(B33:E33)</f>
        <v>2265</v>
      </c>
      <c r="G33" s="29">
        <v>2173</v>
      </c>
      <c r="H33" s="34"/>
      <c r="I33" s="34"/>
      <c r="J33" s="34"/>
      <c r="K33" s="24">
        <f>SUM(G33:J33)</f>
        <v>2173</v>
      </c>
      <c r="L33" s="25">
        <f t="shared" si="24"/>
        <v>92</v>
      </c>
      <c r="M33" s="25">
        <f t="shared" si="24"/>
        <v>0</v>
      </c>
      <c r="N33" s="25"/>
      <c r="O33" s="25">
        <f>+E33-J33</f>
        <v>0</v>
      </c>
      <c r="P33" s="26">
        <f>SUM(L33:O33)</f>
        <v>92</v>
      </c>
      <c r="Q33" s="18"/>
    </row>
    <row r="34" spans="1:17" ht="12.75" customHeight="1">
      <c r="A34" s="22" t="s">
        <v>18</v>
      </c>
      <c r="B34" s="29">
        <v>1308</v>
      </c>
      <c r="C34" s="29"/>
      <c r="D34" s="29"/>
      <c r="E34" s="35"/>
      <c r="F34" s="24">
        <f>SUM(B34:E34)</f>
        <v>1308</v>
      </c>
      <c r="G34" s="29">
        <v>1065</v>
      </c>
      <c r="H34" s="34"/>
      <c r="I34" s="34"/>
      <c r="J34" s="34"/>
      <c r="K34" s="24">
        <f>SUM(G34:J34)</f>
        <v>1065</v>
      </c>
      <c r="L34" s="25">
        <f t="shared" si="24"/>
        <v>243</v>
      </c>
      <c r="M34" s="25">
        <f t="shared" si="24"/>
        <v>0</v>
      </c>
      <c r="N34" s="25"/>
      <c r="O34" s="25">
        <f>+E34-J34</f>
        <v>0</v>
      </c>
      <c r="P34" s="26">
        <f>SUM(L34:O34)</f>
        <v>243</v>
      </c>
      <c r="Q34" s="18"/>
    </row>
    <row r="35" spans="1:17" ht="12.75" customHeight="1">
      <c r="A35" s="22" t="s">
        <v>19</v>
      </c>
      <c r="B35" s="27">
        <f t="shared" ref="B35:K35" si="25">+B36+B37</f>
        <v>0</v>
      </c>
      <c r="C35" s="27">
        <f t="shared" si="25"/>
        <v>369</v>
      </c>
      <c r="D35" s="27">
        <f t="shared" si="25"/>
        <v>0</v>
      </c>
      <c r="E35" s="27">
        <f t="shared" si="25"/>
        <v>1</v>
      </c>
      <c r="F35" s="27">
        <f t="shared" si="25"/>
        <v>370</v>
      </c>
      <c r="G35" s="27">
        <f t="shared" si="25"/>
        <v>0</v>
      </c>
      <c r="H35" s="27">
        <f t="shared" si="25"/>
        <v>0</v>
      </c>
      <c r="I35" s="27">
        <f t="shared" si="25"/>
        <v>0</v>
      </c>
      <c r="J35" s="27">
        <f t="shared" si="25"/>
        <v>0</v>
      </c>
      <c r="K35" s="27">
        <f t="shared" si="25"/>
        <v>0</v>
      </c>
      <c r="L35" s="27">
        <f>+L36+L37</f>
        <v>0</v>
      </c>
      <c r="M35" s="27">
        <f>+M36+M37</f>
        <v>369</v>
      </c>
      <c r="N35" s="27"/>
      <c r="O35" s="27">
        <f>+O36+O37</f>
        <v>1</v>
      </c>
      <c r="P35" s="28">
        <f>+P36+P37</f>
        <v>370</v>
      </c>
      <c r="Q35" s="18"/>
    </row>
    <row r="36" spans="1:17" ht="12.75" customHeight="1">
      <c r="A36" s="22" t="s">
        <v>20</v>
      </c>
      <c r="B36" s="29"/>
      <c r="C36" s="29">
        <v>369</v>
      </c>
      <c r="D36" s="29"/>
      <c r="E36" s="30">
        <v>1</v>
      </c>
      <c r="F36" s="24">
        <f>SUM(B36:E36)</f>
        <v>370</v>
      </c>
      <c r="G36" s="29"/>
      <c r="H36" s="29"/>
      <c r="I36" s="29"/>
      <c r="J36" s="29"/>
      <c r="K36" s="24">
        <f>SUM(G36:J36)</f>
        <v>0</v>
      </c>
      <c r="L36" s="25">
        <f>+B36-G36</f>
        <v>0</v>
      </c>
      <c r="M36" s="25">
        <f>+C36-H36</f>
        <v>369</v>
      </c>
      <c r="N36" s="25"/>
      <c r="O36" s="25">
        <f>+E36-J36</f>
        <v>1</v>
      </c>
      <c r="P36" s="26">
        <f>SUM(L36:O36)</f>
        <v>370</v>
      </c>
      <c r="Q36" s="18"/>
    </row>
    <row r="37" spans="1:17" ht="12.75" customHeight="1">
      <c r="A37" s="22" t="s">
        <v>21</v>
      </c>
      <c r="B37" s="29"/>
      <c r="C37" s="29"/>
      <c r="D37" s="29"/>
      <c r="E37" s="30"/>
      <c r="F37" s="24">
        <f>SUM(B37:E37)</f>
        <v>0</v>
      </c>
      <c r="G37" s="29"/>
      <c r="H37" s="29"/>
      <c r="I37" s="29"/>
      <c r="J37" s="29"/>
      <c r="K37" s="24">
        <f>SUM(G37:J37)</f>
        <v>0</v>
      </c>
      <c r="L37" s="25">
        <f>+B37-G37</f>
        <v>0</v>
      </c>
      <c r="M37" s="25">
        <f>+C37-H37</f>
        <v>0</v>
      </c>
      <c r="N37" s="25"/>
      <c r="O37" s="25">
        <f>+E37-J37</f>
        <v>0</v>
      </c>
      <c r="P37" s="26">
        <f>SUM(L37:O37)</f>
        <v>0</v>
      </c>
      <c r="Q37" s="18"/>
    </row>
    <row r="38" spans="1:17" ht="12.75" customHeight="1">
      <c r="A38" s="57"/>
      <c r="B38" s="25"/>
      <c r="C38" s="25"/>
      <c r="D38" s="25"/>
      <c r="E38" s="25"/>
      <c r="F38" s="24"/>
      <c r="G38" s="47"/>
      <c r="H38" s="47"/>
      <c r="I38" s="47"/>
      <c r="J38" s="47"/>
      <c r="K38" s="32"/>
      <c r="L38" s="25"/>
      <c r="M38" s="25"/>
      <c r="N38" s="25"/>
      <c r="O38" s="25"/>
      <c r="P38" s="26"/>
      <c r="Q38" s="18"/>
    </row>
    <row r="39" spans="1:17" ht="12.75" customHeight="1">
      <c r="A39" s="57" t="s">
        <v>134</v>
      </c>
      <c r="B39" s="17">
        <f t="shared" ref="B39:K39" si="26">+B40+B44</f>
        <v>15602</v>
      </c>
      <c r="C39" s="17">
        <f t="shared" si="26"/>
        <v>23027</v>
      </c>
      <c r="D39" s="17">
        <f t="shared" si="26"/>
        <v>0</v>
      </c>
      <c r="E39" s="17">
        <f t="shared" si="26"/>
        <v>251</v>
      </c>
      <c r="F39" s="17">
        <f t="shared" si="26"/>
        <v>38880</v>
      </c>
      <c r="G39" s="17">
        <f t="shared" si="26"/>
        <v>15601</v>
      </c>
      <c r="H39" s="17">
        <f t="shared" si="26"/>
        <v>21730</v>
      </c>
      <c r="I39" s="17">
        <f t="shared" si="26"/>
        <v>0</v>
      </c>
      <c r="J39" s="17">
        <f t="shared" si="26"/>
        <v>250</v>
      </c>
      <c r="K39" s="17">
        <f t="shared" si="26"/>
        <v>37581</v>
      </c>
      <c r="L39" s="17">
        <f t="shared" ref="L39:P39" si="27">+L40+L44</f>
        <v>1</v>
      </c>
      <c r="M39" s="17">
        <f t="shared" si="27"/>
        <v>1297</v>
      </c>
      <c r="N39" s="17"/>
      <c r="O39" s="17">
        <f t="shared" si="27"/>
        <v>1</v>
      </c>
      <c r="P39" s="17">
        <f t="shared" si="27"/>
        <v>1299</v>
      </c>
      <c r="Q39" s="18">
        <f>+K39/F39</f>
        <v>0.96658950617283945</v>
      </c>
    </row>
    <row r="40" spans="1:17" ht="12.75" customHeight="1">
      <c r="A40" s="58" t="s">
        <v>15</v>
      </c>
      <c r="B40" s="20">
        <f t="shared" ref="B40:K40" si="28">+B41+B42+B43</f>
        <v>15602</v>
      </c>
      <c r="C40" s="20">
        <f t="shared" si="28"/>
        <v>22300</v>
      </c>
      <c r="D40" s="20">
        <f t="shared" si="28"/>
        <v>0</v>
      </c>
      <c r="E40" s="20">
        <f t="shared" si="28"/>
        <v>250</v>
      </c>
      <c r="F40" s="20">
        <f t="shared" si="28"/>
        <v>38152</v>
      </c>
      <c r="G40" s="20">
        <f t="shared" si="28"/>
        <v>15601</v>
      </c>
      <c r="H40" s="20">
        <f t="shared" si="28"/>
        <v>21730</v>
      </c>
      <c r="I40" s="20">
        <f t="shared" si="28"/>
        <v>0</v>
      </c>
      <c r="J40" s="20">
        <f t="shared" si="28"/>
        <v>250</v>
      </c>
      <c r="K40" s="20">
        <f t="shared" si="28"/>
        <v>37581</v>
      </c>
      <c r="L40" s="20">
        <f t="shared" ref="L40:P40" si="29">+L41+L42+L43</f>
        <v>1</v>
      </c>
      <c r="M40" s="20">
        <f t="shared" si="29"/>
        <v>570</v>
      </c>
      <c r="N40" s="20"/>
      <c r="O40" s="20">
        <f t="shared" si="29"/>
        <v>0</v>
      </c>
      <c r="P40" s="21">
        <f t="shared" si="29"/>
        <v>571</v>
      </c>
      <c r="Q40" s="18"/>
    </row>
    <row r="41" spans="1:17" ht="12.75" customHeight="1">
      <c r="A41" s="22" t="s">
        <v>16</v>
      </c>
      <c r="B41" s="29">
        <v>13016</v>
      </c>
      <c r="C41" s="29">
        <v>22300</v>
      </c>
      <c r="D41" s="29"/>
      <c r="E41" s="30">
        <v>250</v>
      </c>
      <c r="F41" s="24">
        <f>SUM(B41:E41)</f>
        <v>35566</v>
      </c>
      <c r="G41" s="29">
        <f>13455-439</f>
        <v>13016</v>
      </c>
      <c r="H41" s="29">
        <f>21264+2+439+25</f>
        <v>21730</v>
      </c>
      <c r="I41" s="29">
        <f>2-2</f>
        <v>0</v>
      </c>
      <c r="J41" s="29">
        <v>250</v>
      </c>
      <c r="K41" s="24">
        <f>SUM(G41:J41)</f>
        <v>34996</v>
      </c>
      <c r="L41" s="25">
        <f t="shared" ref="L41:M43" si="30">+B41-G41</f>
        <v>0</v>
      </c>
      <c r="M41" s="25">
        <f t="shared" si="30"/>
        <v>570</v>
      </c>
      <c r="N41" s="25"/>
      <c r="O41" s="25">
        <f>+E41-J41</f>
        <v>0</v>
      </c>
      <c r="P41" s="26">
        <f>SUM(L41:O41)</f>
        <v>570</v>
      </c>
      <c r="Q41" s="18"/>
    </row>
    <row r="42" spans="1:17" ht="12.75" customHeight="1">
      <c r="A42" s="22" t="s">
        <v>17</v>
      </c>
      <c r="B42" s="29">
        <v>1305</v>
      </c>
      <c r="C42" s="34"/>
      <c r="D42" s="34"/>
      <c r="E42" s="30"/>
      <c r="F42" s="24">
        <f>SUM(B42:E42)</f>
        <v>1305</v>
      </c>
      <c r="G42" s="29">
        <f>1330-25</f>
        <v>1305</v>
      </c>
      <c r="H42" s="34"/>
      <c r="I42" s="34"/>
      <c r="J42" s="34"/>
      <c r="K42" s="24">
        <f>SUM(G42:J42)</f>
        <v>1305</v>
      </c>
      <c r="L42" s="25">
        <f t="shared" si="30"/>
        <v>0</v>
      </c>
      <c r="M42" s="25">
        <f t="shared" si="30"/>
        <v>0</v>
      </c>
      <c r="N42" s="25"/>
      <c r="O42" s="25">
        <f>+E42-J42</f>
        <v>0</v>
      </c>
      <c r="P42" s="26">
        <f>SUM(L42:O42)</f>
        <v>0</v>
      </c>
      <c r="Q42" s="18"/>
    </row>
    <row r="43" spans="1:17" ht="12.75" customHeight="1">
      <c r="A43" s="22" t="s">
        <v>18</v>
      </c>
      <c r="B43" s="29">
        <v>1281</v>
      </c>
      <c r="C43" s="34"/>
      <c r="D43" s="34"/>
      <c r="E43" s="35"/>
      <c r="F43" s="24">
        <f>SUM(B43:E43)</f>
        <v>1281</v>
      </c>
      <c r="G43" s="29">
        <v>1280</v>
      </c>
      <c r="H43" s="29"/>
      <c r="I43" s="29"/>
      <c r="J43" s="29"/>
      <c r="K43" s="24">
        <f>SUM(G43:J43)</f>
        <v>1280</v>
      </c>
      <c r="L43" s="25">
        <f t="shared" si="30"/>
        <v>1</v>
      </c>
      <c r="M43" s="25">
        <f t="shared" si="30"/>
        <v>0</v>
      </c>
      <c r="N43" s="25"/>
      <c r="O43" s="25">
        <f>+E43-J43</f>
        <v>0</v>
      </c>
      <c r="P43" s="26">
        <f>SUM(L43:O43)</f>
        <v>1</v>
      </c>
      <c r="Q43" s="18"/>
    </row>
    <row r="44" spans="1:17" ht="12.75" customHeight="1">
      <c r="A44" s="22" t="s">
        <v>19</v>
      </c>
      <c r="B44" s="27">
        <f t="shared" ref="B44:K44" si="31">+B45+B46</f>
        <v>0</v>
      </c>
      <c r="C44" s="27">
        <f t="shared" si="31"/>
        <v>727</v>
      </c>
      <c r="D44" s="27">
        <f t="shared" si="31"/>
        <v>0</v>
      </c>
      <c r="E44" s="27">
        <f t="shared" si="31"/>
        <v>1</v>
      </c>
      <c r="F44" s="27">
        <f t="shared" si="31"/>
        <v>728</v>
      </c>
      <c r="G44" s="27">
        <f t="shared" si="31"/>
        <v>0</v>
      </c>
      <c r="H44" s="27">
        <f t="shared" si="31"/>
        <v>0</v>
      </c>
      <c r="I44" s="27">
        <f t="shared" si="31"/>
        <v>0</v>
      </c>
      <c r="J44" s="27">
        <f t="shared" si="31"/>
        <v>0</v>
      </c>
      <c r="K44" s="27">
        <f t="shared" si="31"/>
        <v>0</v>
      </c>
      <c r="L44" s="27">
        <f>+L45+L46</f>
        <v>0</v>
      </c>
      <c r="M44" s="27">
        <f>+M45+M46</f>
        <v>727</v>
      </c>
      <c r="N44" s="27"/>
      <c r="O44" s="27">
        <f>+O45+O46</f>
        <v>1</v>
      </c>
      <c r="P44" s="28">
        <f>+P45+P46</f>
        <v>728</v>
      </c>
      <c r="Q44" s="18"/>
    </row>
    <row r="45" spans="1:17" ht="12.75" customHeight="1">
      <c r="A45" s="22" t="s">
        <v>20</v>
      </c>
      <c r="B45" s="29"/>
      <c r="C45" s="29">
        <v>727</v>
      </c>
      <c r="D45" s="29"/>
      <c r="E45" s="30">
        <v>1</v>
      </c>
      <c r="F45" s="24">
        <f>SUM(B45:E45)</f>
        <v>728</v>
      </c>
      <c r="G45" s="29"/>
      <c r="H45" s="29"/>
      <c r="I45" s="29"/>
      <c r="J45" s="29"/>
      <c r="K45" s="24">
        <f>SUM(G45:J45)</f>
        <v>0</v>
      </c>
      <c r="L45" s="25">
        <f>+B45-G45</f>
        <v>0</v>
      </c>
      <c r="M45" s="25">
        <f>+C45-H45</f>
        <v>727</v>
      </c>
      <c r="N45" s="25"/>
      <c r="O45" s="25">
        <f>+E45-J45</f>
        <v>1</v>
      </c>
      <c r="P45" s="26">
        <f>SUM(L45:O45)</f>
        <v>728</v>
      </c>
      <c r="Q45" s="18"/>
    </row>
    <row r="46" spans="1:17" ht="12.75" customHeight="1">
      <c r="A46" s="22" t="s">
        <v>21</v>
      </c>
      <c r="B46" s="29"/>
      <c r="C46" s="29"/>
      <c r="D46" s="29"/>
      <c r="E46" s="30"/>
      <c r="F46" s="24">
        <f>SUM(B46:E46)</f>
        <v>0</v>
      </c>
      <c r="G46" s="29"/>
      <c r="H46" s="29"/>
      <c r="I46" s="29"/>
      <c r="J46" s="29"/>
      <c r="K46" s="24">
        <f>SUM(G46:J46)</f>
        <v>0</v>
      </c>
      <c r="L46" s="25">
        <f>+B46-G46</f>
        <v>0</v>
      </c>
      <c r="M46" s="25">
        <f>+C46-H46</f>
        <v>0</v>
      </c>
      <c r="N46" s="25"/>
      <c r="O46" s="25">
        <f>+E46-J46</f>
        <v>0</v>
      </c>
      <c r="P46" s="26">
        <f>SUM(L46:O46)</f>
        <v>0</v>
      </c>
      <c r="Q46" s="18"/>
    </row>
    <row r="47" spans="1:17" ht="12.75" customHeight="1">
      <c r="A47" s="57"/>
      <c r="B47" s="25"/>
      <c r="C47" s="25"/>
      <c r="D47" s="25"/>
      <c r="E47" s="25"/>
      <c r="F47" s="24"/>
      <c r="G47" s="25"/>
      <c r="H47" s="25"/>
      <c r="I47" s="25"/>
      <c r="J47" s="25"/>
      <c r="K47" s="24"/>
      <c r="L47" s="25"/>
      <c r="M47" s="25"/>
      <c r="N47" s="25"/>
      <c r="O47" s="25"/>
      <c r="P47" s="26"/>
      <c r="Q47" s="18"/>
    </row>
    <row r="48" spans="1:17" ht="12.75" customHeight="1">
      <c r="A48" s="57" t="s">
        <v>135</v>
      </c>
      <c r="B48" s="17">
        <f t="shared" ref="B48:K48" si="32">+B49+B53</f>
        <v>28323</v>
      </c>
      <c r="C48" s="17">
        <f t="shared" si="32"/>
        <v>14647</v>
      </c>
      <c r="D48" s="17">
        <f t="shared" si="32"/>
        <v>0</v>
      </c>
      <c r="E48" s="17">
        <f t="shared" si="32"/>
        <v>20</v>
      </c>
      <c r="F48" s="17">
        <f t="shared" si="32"/>
        <v>42990</v>
      </c>
      <c r="G48" s="17">
        <f t="shared" si="32"/>
        <v>26929</v>
      </c>
      <c r="H48" s="17">
        <f t="shared" si="32"/>
        <v>12947</v>
      </c>
      <c r="I48" s="17">
        <f t="shared" si="32"/>
        <v>0</v>
      </c>
      <c r="J48" s="17">
        <f t="shared" si="32"/>
        <v>0</v>
      </c>
      <c r="K48" s="17">
        <f t="shared" si="32"/>
        <v>39876</v>
      </c>
      <c r="L48" s="17">
        <f>+L49+L53</f>
        <v>1394</v>
      </c>
      <c r="M48" s="17">
        <f>+M49+M53</f>
        <v>1700</v>
      </c>
      <c r="N48" s="17"/>
      <c r="O48" s="17">
        <f>+O49+O53</f>
        <v>20</v>
      </c>
      <c r="P48" s="17">
        <f>+P49+P53</f>
        <v>3114</v>
      </c>
      <c r="Q48" s="18">
        <f>+K48/F48</f>
        <v>0.92756454989532444</v>
      </c>
    </row>
    <row r="49" spans="1:17" ht="12.75" customHeight="1">
      <c r="A49" s="58" t="s">
        <v>15</v>
      </c>
      <c r="B49" s="20">
        <f t="shared" ref="B49:K49" si="33">+B50+B51+B52</f>
        <v>28323</v>
      </c>
      <c r="C49" s="20">
        <f t="shared" si="33"/>
        <v>14551</v>
      </c>
      <c r="D49" s="20">
        <f t="shared" si="33"/>
        <v>0</v>
      </c>
      <c r="E49" s="20">
        <f t="shared" si="33"/>
        <v>0</v>
      </c>
      <c r="F49" s="20">
        <f t="shared" si="33"/>
        <v>42874</v>
      </c>
      <c r="G49" s="20">
        <f t="shared" si="33"/>
        <v>26929</v>
      </c>
      <c r="H49" s="20">
        <f t="shared" si="33"/>
        <v>12947</v>
      </c>
      <c r="I49" s="20">
        <f t="shared" si="33"/>
        <v>0</v>
      </c>
      <c r="J49" s="20">
        <f t="shared" si="33"/>
        <v>0</v>
      </c>
      <c r="K49" s="20">
        <f t="shared" si="33"/>
        <v>39876</v>
      </c>
      <c r="L49" s="20">
        <f>+L50+L51+L52</f>
        <v>1394</v>
      </c>
      <c r="M49" s="20">
        <f>+M50+M51+M52</f>
        <v>1604</v>
      </c>
      <c r="N49" s="20"/>
      <c r="O49" s="20">
        <f>+O50+O51+O52</f>
        <v>0</v>
      </c>
      <c r="P49" s="21">
        <f>+P50+P51+P52</f>
        <v>2998</v>
      </c>
      <c r="Q49" s="18"/>
    </row>
    <row r="50" spans="1:17" ht="12.75" customHeight="1">
      <c r="A50" s="22" t="s">
        <v>16</v>
      </c>
      <c r="B50" s="29">
        <v>25331</v>
      </c>
      <c r="C50" s="29">
        <v>12551</v>
      </c>
      <c r="D50" s="29"/>
      <c r="E50" s="30"/>
      <c r="F50" s="24">
        <f>SUM(B50:E50)</f>
        <v>37882</v>
      </c>
      <c r="G50" s="29">
        <v>24368</v>
      </c>
      <c r="H50" s="29">
        <v>11213</v>
      </c>
      <c r="I50" s="29"/>
      <c r="J50" s="29"/>
      <c r="K50" s="24">
        <f>SUM(G50:J50)</f>
        <v>35581</v>
      </c>
      <c r="L50" s="25">
        <f t="shared" ref="L50:M52" si="34">+B50-G50</f>
        <v>963</v>
      </c>
      <c r="M50" s="25">
        <f t="shared" si="34"/>
        <v>1338</v>
      </c>
      <c r="N50" s="25"/>
      <c r="O50" s="25">
        <f>+E50-J50</f>
        <v>0</v>
      </c>
      <c r="P50" s="26">
        <f>SUM(L50:O50)</f>
        <v>2301</v>
      </c>
      <c r="Q50" s="18"/>
    </row>
    <row r="51" spans="1:17" ht="12.75" customHeight="1">
      <c r="A51" s="22" t="s">
        <v>17</v>
      </c>
      <c r="B51" s="29">
        <v>685</v>
      </c>
      <c r="C51" s="29">
        <v>2000</v>
      </c>
      <c r="D51" s="29"/>
      <c r="E51" s="30"/>
      <c r="F51" s="24">
        <f>SUM(B51:E51)</f>
        <v>2685</v>
      </c>
      <c r="G51" s="29">
        <v>415</v>
      </c>
      <c r="H51" s="29">
        <v>1734</v>
      </c>
      <c r="I51" s="34"/>
      <c r="J51" s="34"/>
      <c r="K51" s="24">
        <f>SUM(G51:J51)</f>
        <v>2149</v>
      </c>
      <c r="L51" s="25">
        <f t="shared" si="34"/>
        <v>270</v>
      </c>
      <c r="M51" s="25">
        <f t="shared" si="34"/>
        <v>266</v>
      </c>
      <c r="N51" s="25"/>
      <c r="O51" s="25">
        <f>+E51-J51</f>
        <v>0</v>
      </c>
      <c r="P51" s="26">
        <f>SUM(L51:O51)</f>
        <v>536</v>
      </c>
      <c r="Q51" s="18"/>
    </row>
    <row r="52" spans="1:17" ht="12.75" customHeight="1">
      <c r="A52" s="22" t="s">
        <v>18</v>
      </c>
      <c r="B52" s="29">
        <v>2307</v>
      </c>
      <c r="C52" s="34"/>
      <c r="D52" s="34"/>
      <c r="E52" s="35"/>
      <c r="F52" s="24">
        <f>SUM(B52:E52)</f>
        <v>2307</v>
      </c>
      <c r="G52" s="29">
        <v>2146</v>
      </c>
      <c r="H52" s="34"/>
      <c r="I52" s="34"/>
      <c r="J52" s="34"/>
      <c r="K52" s="24">
        <f>SUM(G52:J52)</f>
        <v>2146</v>
      </c>
      <c r="L52" s="25">
        <f t="shared" si="34"/>
        <v>161</v>
      </c>
      <c r="M52" s="25">
        <f t="shared" si="34"/>
        <v>0</v>
      </c>
      <c r="N52" s="25"/>
      <c r="O52" s="25">
        <f>+E52-J52</f>
        <v>0</v>
      </c>
      <c r="P52" s="26">
        <f>SUM(L52:O52)</f>
        <v>161</v>
      </c>
      <c r="Q52" s="18"/>
    </row>
    <row r="53" spans="1:17" ht="12.75" customHeight="1">
      <c r="A53" s="22" t="s">
        <v>19</v>
      </c>
      <c r="B53" s="27">
        <f t="shared" ref="B53:K53" si="35">+B54+B55</f>
        <v>0</v>
      </c>
      <c r="C53" s="27">
        <f t="shared" si="35"/>
        <v>96</v>
      </c>
      <c r="D53" s="27">
        <f t="shared" si="35"/>
        <v>0</v>
      </c>
      <c r="E53" s="27">
        <f t="shared" si="35"/>
        <v>20</v>
      </c>
      <c r="F53" s="27">
        <f t="shared" si="35"/>
        <v>116</v>
      </c>
      <c r="G53" s="27">
        <f t="shared" si="35"/>
        <v>0</v>
      </c>
      <c r="H53" s="27">
        <f t="shared" si="35"/>
        <v>0</v>
      </c>
      <c r="I53" s="27">
        <f t="shared" si="35"/>
        <v>0</v>
      </c>
      <c r="J53" s="27">
        <f t="shared" si="35"/>
        <v>0</v>
      </c>
      <c r="K53" s="27">
        <f t="shared" si="35"/>
        <v>0</v>
      </c>
      <c r="L53" s="27">
        <f>+L54+L55</f>
        <v>0</v>
      </c>
      <c r="M53" s="27">
        <f>+M54+M55</f>
        <v>96</v>
      </c>
      <c r="N53" s="27"/>
      <c r="O53" s="27">
        <f>+O54+O55</f>
        <v>20</v>
      </c>
      <c r="P53" s="28">
        <f>+P54+P55</f>
        <v>116</v>
      </c>
      <c r="Q53" s="18"/>
    </row>
    <row r="54" spans="1:17" ht="12.75" customHeight="1">
      <c r="A54" s="22" t="s">
        <v>20</v>
      </c>
      <c r="B54" s="29"/>
      <c r="C54" s="29">
        <v>96</v>
      </c>
      <c r="D54" s="29"/>
      <c r="E54" s="30">
        <v>20</v>
      </c>
      <c r="F54" s="24">
        <f>SUM(B54:E54)</f>
        <v>116</v>
      </c>
      <c r="G54" s="29"/>
      <c r="H54" s="29"/>
      <c r="I54" s="29"/>
      <c r="J54" s="29"/>
      <c r="K54" s="24">
        <f>SUM(G54:J54)</f>
        <v>0</v>
      </c>
      <c r="L54" s="25">
        <f>+B54-G54</f>
        <v>0</v>
      </c>
      <c r="M54" s="25">
        <f>+C54-H54</f>
        <v>96</v>
      </c>
      <c r="N54" s="25"/>
      <c r="O54" s="25">
        <f>+E54-J54</f>
        <v>20</v>
      </c>
      <c r="P54" s="26">
        <f>SUM(L54:O54)</f>
        <v>116</v>
      </c>
      <c r="Q54" s="18"/>
    </row>
    <row r="55" spans="1:17" ht="12.75" customHeight="1">
      <c r="A55" s="22" t="s">
        <v>21</v>
      </c>
      <c r="B55" s="29"/>
      <c r="C55" s="29"/>
      <c r="D55" s="29"/>
      <c r="E55" s="30"/>
      <c r="F55" s="24">
        <f>SUM(B55:E55)</f>
        <v>0</v>
      </c>
      <c r="G55" s="29"/>
      <c r="H55" s="29"/>
      <c r="I55" s="29"/>
      <c r="J55" s="29"/>
      <c r="K55" s="24">
        <f>SUM(G55:J55)</f>
        <v>0</v>
      </c>
      <c r="L55" s="25">
        <f>+B55-G55</f>
        <v>0</v>
      </c>
      <c r="M55" s="25">
        <f>+C55-H55</f>
        <v>0</v>
      </c>
      <c r="N55" s="25"/>
      <c r="O55" s="25">
        <f>+E55-J55</f>
        <v>0</v>
      </c>
      <c r="P55" s="26">
        <f>SUM(L55:O55)</f>
        <v>0</v>
      </c>
      <c r="Q55" s="18"/>
    </row>
    <row r="56" spans="1:17" ht="12.75" customHeight="1">
      <c r="A56" s="221"/>
      <c r="B56" s="44"/>
      <c r="C56" s="44"/>
      <c r="D56" s="44"/>
      <c r="E56" s="44"/>
      <c r="F56" s="77"/>
      <c r="G56" s="44"/>
      <c r="H56" s="44"/>
      <c r="I56" s="44"/>
      <c r="J56" s="44"/>
      <c r="K56" s="77"/>
      <c r="L56" s="44"/>
      <c r="M56" s="44"/>
      <c r="N56" s="44"/>
      <c r="O56" s="44"/>
      <c r="P56" s="75"/>
      <c r="Q56" s="76"/>
    </row>
    <row r="57" spans="1:17" ht="12.75" customHeight="1">
      <c r="A57" s="57" t="s">
        <v>136</v>
      </c>
      <c r="B57" s="17">
        <f t="shared" ref="B57:K57" si="36">+B58+B62</f>
        <v>46509</v>
      </c>
      <c r="C57" s="17">
        <f t="shared" si="36"/>
        <v>43636</v>
      </c>
      <c r="D57" s="17">
        <f t="shared" si="36"/>
        <v>0</v>
      </c>
      <c r="E57" s="17">
        <f t="shared" si="36"/>
        <v>294</v>
      </c>
      <c r="F57" s="17">
        <f t="shared" si="36"/>
        <v>90439</v>
      </c>
      <c r="G57" s="17">
        <f t="shared" si="36"/>
        <v>46505</v>
      </c>
      <c r="H57" s="17">
        <f t="shared" si="36"/>
        <v>41101</v>
      </c>
      <c r="I57" s="17">
        <f t="shared" si="36"/>
        <v>0</v>
      </c>
      <c r="J57" s="17">
        <f t="shared" si="36"/>
        <v>293</v>
      </c>
      <c r="K57" s="17">
        <f t="shared" si="36"/>
        <v>87899</v>
      </c>
      <c r="L57" s="17">
        <f>+L58+L62</f>
        <v>4</v>
      </c>
      <c r="M57" s="17">
        <f>+M58+M62</f>
        <v>2535</v>
      </c>
      <c r="N57" s="17"/>
      <c r="O57" s="17">
        <f>+O58+O62</f>
        <v>1</v>
      </c>
      <c r="P57" s="17">
        <f>+P58+P62</f>
        <v>2540</v>
      </c>
      <c r="Q57" s="18">
        <f>+K57/F57</f>
        <v>0.97191477128230075</v>
      </c>
    </row>
    <row r="58" spans="1:17" ht="12.75" customHeight="1">
      <c r="A58" s="58" t="s">
        <v>15</v>
      </c>
      <c r="B58" s="20">
        <f t="shared" ref="B58:K58" si="37">+B59+B60+B61</f>
        <v>46509</v>
      </c>
      <c r="C58" s="20">
        <f t="shared" si="37"/>
        <v>42200</v>
      </c>
      <c r="D58" s="20">
        <f t="shared" si="37"/>
        <v>0</v>
      </c>
      <c r="E58" s="20">
        <f t="shared" si="37"/>
        <v>294</v>
      </c>
      <c r="F58" s="20">
        <f t="shared" si="37"/>
        <v>89003</v>
      </c>
      <c r="G58" s="20">
        <f t="shared" si="37"/>
        <v>46505</v>
      </c>
      <c r="H58" s="20">
        <f t="shared" si="37"/>
        <v>41101</v>
      </c>
      <c r="I58" s="20">
        <f t="shared" si="37"/>
        <v>0</v>
      </c>
      <c r="J58" s="20">
        <f t="shared" si="37"/>
        <v>293</v>
      </c>
      <c r="K58" s="20">
        <f t="shared" si="37"/>
        <v>87899</v>
      </c>
      <c r="L58" s="20">
        <f>+L59+L60+L61</f>
        <v>4</v>
      </c>
      <c r="M58" s="20">
        <f>+M59+M60+M61</f>
        <v>1099</v>
      </c>
      <c r="N58" s="20"/>
      <c r="O58" s="20">
        <f>+O59+O60+O61</f>
        <v>1</v>
      </c>
      <c r="P58" s="21">
        <f>+P59+P60+P61</f>
        <v>1104</v>
      </c>
      <c r="Q58" s="18"/>
    </row>
    <row r="59" spans="1:17" ht="12.75" customHeight="1">
      <c r="A59" s="22" t="s">
        <v>16</v>
      </c>
      <c r="B59" s="29">
        <v>39753</v>
      </c>
      <c r="C59" s="29">
        <v>38203</v>
      </c>
      <c r="D59" s="29"/>
      <c r="E59" s="30">
        <v>294</v>
      </c>
      <c r="F59" s="24">
        <f>SUM(B59:E59)</f>
        <v>78250</v>
      </c>
      <c r="G59" s="29">
        <f>39725+28</f>
        <v>39753</v>
      </c>
      <c r="H59" s="29">
        <v>37733</v>
      </c>
      <c r="I59" s="29"/>
      <c r="J59" s="29">
        <v>293</v>
      </c>
      <c r="K59" s="24">
        <f>SUM(G59:J59)</f>
        <v>77779</v>
      </c>
      <c r="L59" s="25">
        <f t="shared" ref="L59:M61" si="38">+B59-G59</f>
        <v>0</v>
      </c>
      <c r="M59" s="25">
        <f t="shared" si="38"/>
        <v>470</v>
      </c>
      <c r="N59" s="25"/>
      <c r="O59" s="25">
        <f>+E59-J59</f>
        <v>1</v>
      </c>
      <c r="P59" s="26">
        <f>SUM(L59:O59)</f>
        <v>471</v>
      </c>
      <c r="Q59" s="18"/>
    </row>
    <row r="60" spans="1:17" ht="12.75" customHeight="1">
      <c r="A60" s="22" t="s">
        <v>17</v>
      </c>
      <c r="B60" s="29">
        <v>3184</v>
      </c>
      <c r="C60" s="29">
        <v>3997</v>
      </c>
      <c r="D60" s="34"/>
      <c r="E60" s="30"/>
      <c r="F60" s="24">
        <f>SUM(B60:E60)</f>
        <v>7181</v>
      </c>
      <c r="G60" s="29">
        <f>3166+14</f>
        <v>3180</v>
      </c>
      <c r="H60" s="29">
        <v>3368</v>
      </c>
      <c r="I60" s="29"/>
      <c r="J60" s="34"/>
      <c r="K60" s="24">
        <f>SUM(G60:J60)</f>
        <v>6548</v>
      </c>
      <c r="L60" s="25">
        <f t="shared" si="38"/>
        <v>4</v>
      </c>
      <c r="M60" s="25">
        <f t="shared" si="38"/>
        <v>629</v>
      </c>
      <c r="N60" s="25"/>
      <c r="O60" s="25">
        <f>+E60-J60</f>
        <v>0</v>
      </c>
      <c r="P60" s="26">
        <f>SUM(L60:O60)</f>
        <v>633</v>
      </c>
      <c r="Q60" s="18"/>
    </row>
    <row r="61" spans="1:17" ht="12.75" customHeight="1">
      <c r="A61" s="22" t="s">
        <v>18</v>
      </c>
      <c r="B61" s="29">
        <v>3572</v>
      </c>
      <c r="C61" s="34"/>
      <c r="D61" s="34"/>
      <c r="E61" s="30"/>
      <c r="F61" s="24">
        <f>SUM(B61:E61)</f>
        <v>3572</v>
      </c>
      <c r="G61" s="29">
        <f>3614-28-14</f>
        <v>3572</v>
      </c>
      <c r="H61" s="34"/>
      <c r="I61" s="34"/>
      <c r="J61" s="29"/>
      <c r="K61" s="24">
        <f>SUM(G61:J61)</f>
        <v>3572</v>
      </c>
      <c r="L61" s="25">
        <f t="shared" si="38"/>
        <v>0</v>
      </c>
      <c r="M61" s="25">
        <f t="shared" si="38"/>
        <v>0</v>
      </c>
      <c r="N61" s="25"/>
      <c r="O61" s="25">
        <f>+E61-J61</f>
        <v>0</v>
      </c>
      <c r="P61" s="26">
        <f>SUM(L61:O61)</f>
        <v>0</v>
      </c>
      <c r="Q61" s="18"/>
    </row>
    <row r="62" spans="1:17" ht="12.75" customHeight="1">
      <c r="A62" s="22" t="s">
        <v>19</v>
      </c>
      <c r="B62" s="27">
        <f t="shared" ref="B62:K62" si="39">+B63+B64</f>
        <v>0</v>
      </c>
      <c r="C62" s="27">
        <f t="shared" si="39"/>
        <v>1436</v>
      </c>
      <c r="D62" s="27">
        <f t="shared" si="39"/>
        <v>0</v>
      </c>
      <c r="E62" s="27">
        <f t="shared" si="39"/>
        <v>0</v>
      </c>
      <c r="F62" s="27">
        <f t="shared" si="39"/>
        <v>1436</v>
      </c>
      <c r="G62" s="27">
        <f t="shared" si="39"/>
        <v>0</v>
      </c>
      <c r="H62" s="27">
        <f t="shared" si="39"/>
        <v>0</v>
      </c>
      <c r="I62" s="27">
        <f t="shared" si="39"/>
        <v>0</v>
      </c>
      <c r="J62" s="27">
        <f t="shared" si="39"/>
        <v>0</v>
      </c>
      <c r="K62" s="27">
        <f t="shared" si="39"/>
        <v>0</v>
      </c>
      <c r="L62" s="27">
        <f>+L63+L64</f>
        <v>0</v>
      </c>
      <c r="M62" s="27">
        <f>+M63+M64</f>
        <v>1436</v>
      </c>
      <c r="N62" s="27"/>
      <c r="O62" s="27">
        <f>+O63+O64</f>
        <v>0</v>
      </c>
      <c r="P62" s="28">
        <f>+P63+P64</f>
        <v>1436</v>
      </c>
      <c r="Q62" s="18"/>
    </row>
    <row r="63" spans="1:17" ht="12.75" customHeight="1">
      <c r="A63" s="22" t="s">
        <v>20</v>
      </c>
      <c r="B63" s="29"/>
      <c r="C63" s="29">
        <v>1436</v>
      </c>
      <c r="D63" s="29"/>
      <c r="E63" s="30"/>
      <c r="F63" s="24">
        <f>SUM(B63:E63)</f>
        <v>1436</v>
      </c>
      <c r="G63" s="29"/>
      <c r="H63" s="29"/>
      <c r="I63" s="29"/>
      <c r="J63" s="29"/>
      <c r="K63" s="24">
        <f>SUM(G63:J63)</f>
        <v>0</v>
      </c>
      <c r="L63" s="25">
        <f>+B63-G63</f>
        <v>0</v>
      </c>
      <c r="M63" s="25">
        <f>+C63-H63</f>
        <v>1436</v>
      </c>
      <c r="N63" s="25"/>
      <c r="O63" s="25">
        <f>+E63-J63</f>
        <v>0</v>
      </c>
      <c r="P63" s="26">
        <f>SUM(L63:O63)</f>
        <v>1436</v>
      </c>
      <c r="Q63" s="18"/>
    </row>
    <row r="64" spans="1:17" ht="12.75" customHeight="1">
      <c r="A64" s="22" t="s">
        <v>21</v>
      </c>
      <c r="B64" s="29"/>
      <c r="C64" s="29"/>
      <c r="D64" s="29"/>
      <c r="E64" s="30"/>
      <c r="F64" s="24">
        <f>SUM(B64:E64)</f>
        <v>0</v>
      </c>
      <c r="G64" s="29"/>
      <c r="H64" s="29"/>
      <c r="I64" s="29"/>
      <c r="J64" s="29"/>
      <c r="K64" s="24">
        <f>SUM(G64:J64)</f>
        <v>0</v>
      </c>
      <c r="L64" s="25">
        <f>+B64-G64</f>
        <v>0</v>
      </c>
      <c r="M64" s="25">
        <f>+C64-H64</f>
        <v>0</v>
      </c>
      <c r="N64" s="25"/>
      <c r="O64" s="25">
        <f>+E64-J64</f>
        <v>0</v>
      </c>
      <c r="P64" s="26">
        <f>SUM(L64:O64)</f>
        <v>0</v>
      </c>
      <c r="Q64" s="18"/>
    </row>
    <row r="65" spans="1:17" ht="12.75" customHeight="1">
      <c r="A65" s="22"/>
      <c r="B65" s="29"/>
      <c r="C65" s="29"/>
      <c r="D65" s="29"/>
      <c r="E65" s="29"/>
      <c r="F65" s="24"/>
      <c r="G65" s="29"/>
      <c r="H65" s="29"/>
      <c r="I65" s="29"/>
      <c r="J65" s="29"/>
      <c r="K65" s="24"/>
      <c r="L65" s="44"/>
      <c r="M65" s="44"/>
      <c r="N65" s="44"/>
      <c r="O65" s="44"/>
      <c r="P65" s="75"/>
      <c r="Q65" s="76"/>
    </row>
    <row r="66" spans="1:17">
      <c r="A66" s="57" t="s">
        <v>357</v>
      </c>
      <c r="B66" s="17">
        <f t="shared" ref="B66:P66" si="40">+B67+B71</f>
        <v>5815</v>
      </c>
      <c r="C66" s="17">
        <f t="shared" si="40"/>
        <v>6904</v>
      </c>
      <c r="D66" s="17">
        <f t="shared" si="40"/>
        <v>0</v>
      </c>
      <c r="E66" s="17">
        <f t="shared" si="40"/>
        <v>0</v>
      </c>
      <c r="F66" s="17">
        <f t="shared" si="40"/>
        <v>12719</v>
      </c>
      <c r="G66" s="17">
        <f t="shared" si="40"/>
        <v>0</v>
      </c>
      <c r="H66" s="17">
        <f t="shared" si="40"/>
        <v>507</v>
      </c>
      <c r="I66" s="17">
        <f t="shared" si="40"/>
        <v>0</v>
      </c>
      <c r="J66" s="17">
        <f t="shared" si="40"/>
        <v>0</v>
      </c>
      <c r="K66" s="17">
        <f t="shared" si="40"/>
        <v>507</v>
      </c>
      <c r="L66" s="17">
        <f t="shared" si="40"/>
        <v>5815</v>
      </c>
      <c r="M66" s="17">
        <f t="shared" si="40"/>
        <v>6397</v>
      </c>
      <c r="N66" s="17">
        <f t="shared" si="40"/>
        <v>0</v>
      </c>
      <c r="O66" s="17">
        <f t="shared" si="40"/>
        <v>0</v>
      </c>
      <c r="P66" s="17">
        <f t="shared" si="40"/>
        <v>12212</v>
      </c>
      <c r="Q66" s="18">
        <f>+K66/F66</f>
        <v>3.9861624341536284E-2</v>
      </c>
    </row>
    <row r="67" spans="1:17">
      <c r="A67" s="58" t="s">
        <v>15</v>
      </c>
      <c r="B67" s="20">
        <f t="shared" ref="B67:P67" si="41">+B68+B69+B70</f>
        <v>5815</v>
      </c>
      <c r="C67" s="20">
        <f t="shared" si="41"/>
        <v>6904</v>
      </c>
      <c r="D67" s="20">
        <f t="shared" si="41"/>
        <v>0</v>
      </c>
      <c r="E67" s="20">
        <f t="shared" si="41"/>
        <v>0</v>
      </c>
      <c r="F67" s="20">
        <f t="shared" si="41"/>
        <v>12719</v>
      </c>
      <c r="G67" s="20">
        <f t="shared" si="41"/>
        <v>0</v>
      </c>
      <c r="H67" s="20">
        <f t="shared" si="41"/>
        <v>507</v>
      </c>
      <c r="I67" s="20">
        <f t="shared" si="41"/>
        <v>0</v>
      </c>
      <c r="J67" s="20">
        <f t="shared" si="41"/>
        <v>0</v>
      </c>
      <c r="K67" s="20">
        <f t="shared" si="41"/>
        <v>507</v>
      </c>
      <c r="L67" s="20">
        <f t="shared" si="41"/>
        <v>5815</v>
      </c>
      <c r="M67" s="20">
        <f t="shared" si="41"/>
        <v>6397</v>
      </c>
      <c r="N67" s="20">
        <f t="shared" si="41"/>
        <v>0</v>
      </c>
      <c r="O67" s="20">
        <f t="shared" si="41"/>
        <v>0</v>
      </c>
      <c r="P67" s="20">
        <f t="shared" si="41"/>
        <v>12212</v>
      </c>
      <c r="Q67" s="18"/>
    </row>
    <row r="68" spans="1:17">
      <c r="A68" s="22" t="s">
        <v>16</v>
      </c>
      <c r="B68" s="29"/>
      <c r="C68" s="29">
        <v>6904</v>
      </c>
      <c r="D68" s="29"/>
      <c r="E68" s="30"/>
      <c r="F68" s="24">
        <f>SUM(B68:E68)</f>
        <v>6904</v>
      </c>
      <c r="G68" s="29"/>
      <c r="H68" s="29">
        <v>507</v>
      </c>
      <c r="I68" s="29"/>
      <c r="J68" s="29"/>
      <c r="K68" s="24">
        <f>SUM(G68:J68)</f>
        <v>507</v>
      </c>
      <c r="L68" s="25">
        <f t="shared" ref="L68:M70" si="42">+B68-G68</f>
        <v>0</v>
      </c>
      <c r="M68" s="25">
        <f t="shared" si="42"/>
        <v>6397</v>
      </c>
      <c r="N68" s="25"/>
      <c r="O68" s="25">
        <f>+E68-J68</f>
        <v>0</v>
      </c>
      <c r="P68" s="26">
        <f>SUM(L68:O68)</f>
        <v>6397</v>
      </c>
      <c r="Q68" s="18"/>
    </row>
    <row r="69" spans="1:17">
      <c r="A69" s="22" t="s">
        <v>17</v>
      </c>
      <c r="B69" s="29">
        <v>5261</v>
      </c>
      <c r="C69" s="29"/>
      <c r="D69" s="34"/>
      <c r="E69" s="30"/>
      <c r="F69" s="24">
        <f>SUM(B69:E69)</f>
        <v>5261</v>
      </c>
      <c r="G69" s="29"/>
      <c r="H69" s="29"/>
      <c r="I69" s="29"/>
      <c r="J69" s="34"/>
      <c r="K69" s="24">
        <f>SUM(G69:J69)</f>
        <v>0</v>
      </c>
      <c r="L69" s="25">
        <f t="shared" si="42"/>
        <v>5261</v>
      </c>
      <c r="M69" s="25">
        <f t="shared" si="42"/>
        <v>0</v>
      </c>
      <c r="N69" s="25"/>
      <c r="O69" s="25">
        <f>+E69-J69</f>
        <v>0</v>
      </c>
      <c r="P69" s="26">
        <f>SUM(L69:O69)</f>
        <v>5261</v>
      </c>
      <c r="Q69" s="18"/>
    </row>
    <row r="70" spans="1:17">
      <c r="A70" s="22" t="s">
        <v>18</v>
      </c>
      <c r="B70" s="29">
        <v>554</v>
      </c>
      <c r="C70" s="34"/>
      <c r="D70" s="34"/>
      <c r="E70" s="30"/>
      <c r="F70" s="24">
        <f>SUM(B70:E70)</f>
        <v>554</v>
      </c>
      <c r="G70" s="29"/>
      <c r="H70" s="34"/>
      <c r="I70" s="34"/>
      <c r="J70" s="29"/>
      <c r="K70" s="24">
        <f>SUM(G70:J70)</f>
        <v>0</v>
      </c>
      <c r="L70" s="25">
        <f t="shared" si="42"/>
        <v>554</v>
      </c>
      <c r="M70" s="25">
        <f t="shared" si="42"/>
        <v>0</v>
      </c>
      <c r="N70" s="25"/>
      <c r="O70" s="25">
        <f>+E70-J70</f>
        <v>0</v>
      </c>
      <c r="P70" s="26">
        <f>SUM(L70:O70)</f>
        <v>554</v>
      </c>
      <c r="Q70" s="18"/>
    </row>
    <row r="71" spans="1:17">
      <c r="A71" s="22" t="s">
        <v>19</v>
      </c>
      <c r="B71" s="27">
        <f t="shared" ref="B71:P71" si="43">+B72+B73</f>
        <v>0</v>
      </c>
      <c r="C71" s="27">
        <f t="shared" si="43"/>
        <v>0</v>
      </c>
      <c r="D71" s="27">
        <f t="shared" si="43"/>
        <v>0</v>
      </c>
      <c r="E71" s="27">
        <f t="shared" si="43"/>
        <v>0</v>
      </c>
      <c r="F71" s="27">
        <f t="shared" si="43"/>
        <v>0</v>
      </c>
      <c r="G71" s="27">
        <f t="shared" si="43"/>
        <v>0</v>
      </c>
      <c r="H71" s="27">
        <f t="shared" si="43"/>
        <v>0</v>
      </c>
      <c r="I71" s="27">
        <f t="shared" si="43"/>
        <v>0</v>
      </c>
      <c r="J71" s="27">
        <f t="shared" si="43"/>
        <v>0</v>
      </c>
      <c r="K71" s="27">
        <f t="shared" si="43"/>
        <v>0</v>
      </c>
      <c r="L71" s="27">
        <f t="shared" si="43"/>
        <v>0</v>
      </c>
      <c r="M71" s="27">
        <f t="shared" si="43"/>
        <v>0</v>
      </c>
      <c r="N71" s="27">
        <f t="shared" si="43"/>
        <v>0</v>
      </c>
      <c r="O71" s="27">
        <f t="shared" si="43"/>
        <v>0</v>
      </c>
      <c r="P71" s="27">
        <f t="shared" si="43"/>
        <v>0</v>
      </c>
      <c r="Q71" s="18"/>
    </row>
    <row r="72" spans="1:17">
      <c r="A72" s="22" t="s">
        <v>20</v>
      </c>
      <c r="B72" s="29"/>
      <c r="C72" s="29"/>
      <c r="D72" s="29"/>
      <c r="E72" s="30"/>
      <c r="F72" s="24">
        <f>SUM(B72:E72)</f>
        <v>0</v>
      </c>
      <c r="G72" s="29"/>
      <c r="H72" s="29"/>
      <c r="I72" s="29"/>
      <c r="J72" s="29"/>
      <c r="K72" s="24">
        <f>SUM(G72:J72)</f>
        <v>0</v>
      </c>
      <c r="L72" s="25">
        <f>+B72-G72</f>
        <v>0</v>
      </c>
      <c r="M72" s="25">
        <f>+C72-H72</f>
        <v>0</v>
      </c>
      <c r="N72" s="25"/>
      <c r="O72" s="25">
        <f>+E72-J72</f>
        <v>0</v>
      </c>
      <c r="P72" s="26">
        <f>SUM(L72:O72)</f>
        <v>0</v>
      </c>
      <c r="Q72" s="18"/>
    </row>
    <row r="73" spans="1:17">
      <c r="A73" s="22" t="s">
        <v>21</v>
      </c>
      <c r="B73" s="29"/>
      <c r="C73" s="29"/>
      <c r="D73" s="29"/>
      <c r="E73" s="30"/>
      <c r="F73" s="24">
        <f>SUM(B73:E73)</f>
        <v>0</v>
      </c>
      <c r="G73" s="29"/>
      <c r="H73" s="29"/>
      <c r="I73" s="29"/>
      <c r="J73" s="29"/>
      <c r="K73" s="24">
        <f>SUM(G73:J73)</f>
        <v>0</v>
      </c>
      <c r="L73" s="25">
        <f>+B73-G73</f>
        <v>0</v>
      </c>
      <c r="M73" s="25">
        <f>+C73-H73</f>
        <v>0</v>
      </c>
      <c r="N73" s="25"/>
      <c r="O73" s="25">
        <f>+E73-J73</f>
        <v>0</v>
      </c>
      <c r="P73" s="26">
        <f>SUM(L73:O73)</f>
        <v>0</v>
      </c>
      <c r="Q73" s="18"/>
    </row>
    <row r="74" spans="1:17">
      <c r="A74" s="65"/>
      <c r="B74" s="27"/>
      <c r="C74" s="27"/>
      <c r="D74" s="27"/>
      <c r="E74" s="27"/>
      <c r="F74" s="77"/>
      <c r="G74" s="27"/>
      <c r="H74" s="27"/>
      <c r="I74" s="27"/>
      <c r="J74" s="27"/>
      <c r="K74" s="77"/>
      <c r="L74" s="44"/>
      <c r="M74" s="44"/>
      <c r="N74" s="44"/>
      <c r="O74" s="44"/>
      <c r="P74" s="75"/>
      <c r="Q74" s="76"/>
    </row>
    <row r="75" spans="1:17">
      <c r="A75" s="80"/>
    </row>
    <row r="76" spans="1:17">
      <c r="A76" s="80"/>
    </row>
    <row r="77" spans="1:17">
      <c r="A77" s="80"/>
    </row>
    <row r="78" spans="1:17">
      <c r="A78" s="80"/>
    </row>
    <row r="79" spans="1:17">
      <c r="A79" s="80"/>
    </row>
    <row r="80" spans="1:17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  <row r="1128" spans="1:1">
      <c r="A1128" s="80"/>
    </row>
    <row r="1129" spans="1:1">
      <c r="A1129" s="80"/>
    </row>
    <row r="1130" spans="1:1">
      <c r="A1130" s="80"/>
    </row>
    <row r="1131" spans="1:1">
      <c r="A1131" s="80"/>
    </row>
    <row r="1132" spans="1:1">
      <c r="A1132" s="80"/>
    </row>
    <row r="1133" spans="1:1">
      <c r="A1133" s="80"/>
    </row>
    <row r="1134" spans="1:1">
      <c r="A1134" s="80"/>
    </row>
    <row r="1135" spans="1:1">
      <c r="A1135" s="80"/>
    </row>
    <row r="1136" spans="1:1">
      <c r="A1136" s="80"/>
    </row>
    <row r="1137" spans="1:1">
      <c r="A1137" s="80"/>
    </row>
    <row r="1138" spans="1:1">
      <c r="A1138" s="80"/>
    </row>
    <row r="1139" spans="1:1">
      <c r="A1139" s="80"/>
    </row>
    <row r="1140" spans="1:1">
      <c r="A1140" s="80"/>
    </row>
    <row r="1141" spans="1:1">
      <c r="A1141" s="80"/>
    </row>
    <row r="1142" spans="1:1">
      <c r="A1142" s="80"/>
    </row>
    <row r="1143" spans="1:1">
      <c r="A1143" s="80"/>
    </row>
    <row r="1144" spans="1:1">
      <c r="A1144" s="80"/>
    </row>
    <row r="1145" spans="1:1">
      <c r="A1145" s="80"/>
    </row>
    <row r="1146" spans="1:1">
      <c r="A1146" s="80"/>
    </row>
    <row r="1147" spans="1:1">
      <c r="A1147" s="80"/>
    </row>
    <row r="1148" spans="1:1">
      <c r="A1148" s="80"/>
    </row>
    <row r="1149" spans="1:1">
      <c r="A1149" s="80"/>
    </row>
    <row r="1150" spans="1:1">
      <c r="A1150" s="80"/>
    </row>
    <row r="1151" spans="1:1">
      <c r="A1151" s="80"/>
    </row>
    <row r="1152" spans="1:1">
      <c r="A1152" s="80"/>
    </row>
    <row r="1153" spans="1:1">
      <c r="A1153" s="80"/>
    </row>
    <row r="1154" spans="1:1">
      <c r="A1154" s="80"/>
    </row>
    <row r="1155" spans="1:1">
      <c r="A1155" s="80"/>
    </row>
    <row r="1156" spans="1:1">
      <c r="A1156" s="80"/>
    </row>
    <row r="1157" spans="1:1">
      <c r="A1157" s="80"/>
    </row>
    <row r="1158" spans="1:1">
      <c r="A1158" s="80"/>
    </row>
    <row r="1159" spans="1:1">
      <c r="A1159" s="80"/>
    </row>
    <row r="1160" spans="1:1">
      <c r="A1160" s="80"/>
    </row>
    <row r="1161" spans="1:1">
      <c r="A1161" s="80"/>
    </row>
    <row r="1162" spans="1:1">
      <c r="A1162" s="80"/>
    </row>
    <row r="1163" spans="1:1">
      <c r="A1163" s="80"/>
    </row>
    <row r="1164" spans="1:1">
      <c r="A1164" s="80"/>
    </row>
    <row r="1165" spans="1:1">
      <c r="A1165" s="80"/>
    </row>
    <row r="1166" spans="1:1">
      <c r="A1166" s="80"/>
    </row>
    <row r="1167" spans="1:1">
      <c r="A1167" s="80"/>
    </row>
    <row r="1168" spans="1:1">
      <c r="A1168" s="80"/>
    </row>
    <row r="1169" spans="1:1">
      <c r="A1169" s="80"/>
    </row>
    <row r="1170" spans="1:1">
      <c r="A1170" s="80"/>
    </row>
    <row r="1171" spans="1:1">
      <c r="A1171" s="80"/>
    </row>
    <row r="1172" spans="1:1">
      <c r="A1172" s="80"/>
    </row>
    <row r="1173" spans="1:1">
      <c r="A1173" s="80"/>
    </row>
    <row r="1174" spans="1:1">
      <c r="A1174" s="80"/>
    </row>
    <row r="1175" spans="1:1">
      <c r="A1175" s="80"/>
    </row>
    <row r="1176" spans="1:1">
      <c r="A1176" s="80"/>
    </row>
    <row r="1177" spans="1:1">
      <c r="A1177" s="80"/>
    </row>
    <row r="1178" spans="1:1">
      <c r="A1178" s="80"/>
    </row>
    <row r="1179" spans="1:1">
      <c r="A1179" s="80"/>
    </row>
    <row r="1180" spans="1:1">
      <c r="A1180" s="80"/>
    </row>
    <row r="1181" spans="1:1">
      <c r="A1181" s="80"/>
    </row>
    <row r="1182" spans="1:1">
      <c r="A1182" s="80"/>
    </row>
    <row r="1183" spans="1:1">
      <c r="A1183" s="80"/>
    </row>
    <row r="1184" spans="1:1">
      <c r="A1184" s="80"/>
    </row>
    <row r="1185" spans="1:1">
      <c r="A1185" s="80"/>
    </row>
    <row r="1186" spans="1:1">
      <c r="A1186" s="80"/>
    </row>
    <row r="1187" spans="1:1">
      <c r="A1187" s="80"/>
    </row>
    <row r="1188" spans="1:1">
      <c r="A1188" s="80"/>
    </row>
    <row r="1189" spans="1:1">
      <c r="A1189" s="80"/>
    </row>
    <row r="1190" spans="1:1">
      <c r="A1190" s="80"/>
    </row>
    <row r="1191" spans="1:1">
      <c r="A1191" s="80"/>
    </row>
    <row r="1192" spans="1:1">
      <c r="A1192" s="80"/>
    </row>
    <row r="1193" spans="1:1">
      <c r="A1193" s="80"/>
    </row>
    <row r="1194" spans="1:1">
      <c r="A1194" s="80"/>
    </row>
    <row r="1195" spans="1:1">
      <c r="A1195" s="80"/>
    </row>
    <row r="1196" spans="1:1">
      <c r="A1196" s="80"/>
    </row>
    <row r="1197" spans="1:1">
      <c r="A1197" s="80"/>
    </row>
    <row r="1198" spans="1:1">
      <c r="A1198" s="80"/>
    </row>
    <row r="1199" spans="1:1">
      <c r="A1199" s="80"/>
    </row>
    <row r="1200" spans="1:1">
      <c r="A1200" s="80"/>
    </row>
    <row r="1201" spans="1:1">
      <c r="A1201" s="80"/>
    </row>
    <row r="1202" spans="1:1">
      <c r="A1202" s="80"/>
    </row>
    <row r="1203" spans="1:1">
      <c r="A1203" s="80"/>
    </row>
    <row r="1204" spans="1:1">
      <c r="A1204" s="80"/>
    </row>
    <row r="1205" spans="1:1">
      <c r="A1205" s="80"/>
    </row>
    <row r="1206" spans="1:1">
      <c r="A1206" s="80"/>
    </row>
    <row r="1207" spans="1:1">
      <c r="A1207" s="80"/>
    </row>
    <row r="1208" spans="1:1">
      <c r="A1208" s="80"/>
    </row>
    <row r="1209" spans="1:1">
      <c r="A1209" s="80"/>
    </row>
    <row r="1210" spans="1:1">
      <c r="A1210" s="80"/>
    </row>
    <row r="1211" spans="1:1">
      <c r="A1211" s="80"/>
    </row>
    <row r="1212" spans="1:1">
      <c r="A1212" s="80"/>
    </row>
    <row r="1213" spans="1:1">
      <c r="A1213" s="80"/>
    </row>
    <row r="1214" spans="1:1">
      <c r="A1214" s="80"/>
    </row>
    <row r="1215" spans="1:1">
      <c r="A1215" s="80"/>
    </row>
    <row r="1216" spans="1:1">
      <c r="A1216" s="80"/>
    </row>
    <row r="1217" spans="1:1">
      <c r="A1217" s="80"/>
    </row>
    <row r="1218" spans="1:1">
      <c r="A1218" s="80"/>
    </row>
    <row r="1219" spans="1:1">
      <c r="A1219" s="80"/>
    </row>
    <row r="1220" spans="1:1">
      <c r="A1220" s="80"/>
    </row>
    <row r="1221" spans="1:1">
      <c r="A1221" s="80"/>
    </row>
    <row r="1222" spans="1:1">
      <c r="A1222" s="80"/>
    </row>
    <row r="1223" spans="1:1">
      <c r="A1223" s="80"/>
    </row>
    <row r="1224" spans="1:1">
      <c r="A1224" s="80"/>
    </row>
    <row r="1225" spans="1:1">
      <c r="A1225" s="80"/>
    </row>
    <row r="1226" spans="1:1">
      <c r="A1226" s="80"/>
    </row>
    <row r="1227" spans="1:1">
      <c r="A1227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0" fitToWidth="0" fitToHeight="0" orientation="landscape" r:id="rId1"/>
  <headerFooter alignWithMargins="0">
    <oddFooter>Page &amp;P of &amp;N</oddFooter>
  </headerFooter>
  <rowBreaks count="1" manualBreakCount="1">
    <brk id="5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359"/>
  <sheetViews>
    <sheetView showRuler="0" zoomScaleSheetLayoutView="100" workbookViewId="0">
      <pane xSplit="1" ySplit="8" topLeftCell="B9" activePane="bottomRight" state="frozen"/>
      <selection activeCell="A1459" sqref="A1459"/>
      <selection pane="topRight" activeCell="A1459" sqref="A1459"/>
      <selection pane="bottomLeft" activeCell="A1459" sqref="A1459"/>
      <selection pane="bottomRight" activeCell="A33" sqref="A33"/>
    </sheetView>
  </sheetViews>
  <sheetFormatPr defaultRowHeight="12.75"/>
  <cols>
    <col min="1" max="1" width="32.57031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52" width="9.140625" style="5"/>
    <col min="53" max="53" width="11.140625" style="5" bestFit="1" customWidth="1"/>
    <col min="54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26</v>
      </c>
      <c r="B10" s="17">
        <f t="shared" ref="B10:K10" si="0">+B11+B15</f>
        <v>736027</v>
      </c>
      <c r="C10" s="17">
        <f t="shared" si="0"/>
        <v>4814905</v>
      </c>
      <c r="D10" s="17">
        <f t="shared" si="0"/>
        <v>0</v>
      </c>
      <c r="E10" s="17">
        <f t="shared" si="0"/>
        <v>413090</v>
      </c>
      <c r="F10" s="17">
        <f t="shared" si="0"/>
        <v>5964022</v>
      </c>
      <c r="G10" s="17">
        <f t="shared" si="0"/>
        <v>727057</v>
      </c>
      <c r="H10" s="17">
        <f t="shared" si="0"/>
        <v>2638122</v>
      </c>
      <c r="I10" s="17">
        <f t="shared" si="0"/>
        <v>0</v>
      </c>
      <c r="J10" s="17">
        <f t="shared" si="0"/>
        <v>88531</v>
      </c>
      <c r="K10" s="17">
        <f t="shared" si="0"/>
        <v>3453710</v>
      </c>
      <c r="L10" s="17">
        <f>+L11+L15</f>
        <v>8970</v>
      </c>
      <c r="M10" s="17">
        <f>+M11+M15</f>
        <v>2176783</v>
      </c>
      <c r="N10" s="17"/>
      <c r="O10" s="17">
        <f>+O11+O15</f>
        <v>324559</v>
      </c>
      <c r="P10" s="17">
        <f>+P11+P15</f>
        <v>2510312</v>
      </c>
      <c r="Q10" s="18">
        <f>+K10/F10</f>
        <v>0.57909075452773318</v>
      </c>
    </row>
    <row r="11" spans="1:18" ht="12.75" customHeight="1">
      <c r="A11" s="41" t="s">
        <v>15</v>
      </c>
      <c r="B11" s="20">
        <f t="shared" ref="B11:K11" si="1">+B12+B13+B14</f>
        <v>736027</v>
      </c>
      <c r="C11" s="20">
        <f t="shared" si="1"/>
        <v>3947135</v>
      </c>
      <c r="D11" s="20">
        <f t="shared" si="1"/>
        <v>0</v>
      </c>
      <c r="E11" s="20">
        <f t="shared" si="1"/>
        <v>193181</v>
      </c>
      <c r="F11" s="20">
        <f t="shared" si="1"/>
        <v>4876343</v>
      </c>
      <c r="G11" s="20">
        <f t="shared" si="1"/>
        <v>727057</v>
      </c>
      <c r="H11" s="20">
        <f t="shared" si="1"/>
        <v>2486460</v>
      </c>
      <c r="I11" s="20">
        <f t="shared" si="1"/>
        <v>0</v>
      </c>
      <c r="J11" s="20">
        <f t="shared" si="1"/>
        <v>84661</v>
      </c>
      <c r="K11" s="20">
        <f t="shared" si="1"/>
        <v>3298178</v>
      </c>
      <c r="L11" s="20">
        <f>+L12+L13+L14</f>
        <v>8970</v>
      </c>
      <c r="M11" s="20">
        <f>+M12+M13+M14</f>
        <v>1460675</v>
      </c>
      <c r="N11" s="20"/>
      <c r="O11" s="20">
        <f>+O12+O13+O14</f>
        <v>108520</v>
      </c>
      <c r="P11" s="21">
        <f>+P12+P13+P14</f>
        <v>1578165</v>
      </c>
      <c r="Q11" s="18"/>
    </row>
    <row r="12" spans="1:18" ht="12.75" customHeight="1">
      <c r="A12" s="22" t="s">
        <v>16</v>
      </c>
      <c r="B12" s="25">
        <v>641005</v>
      </c>
      <c r="C12" s="25">
        <v>1966260</v>
      </c>
      <c r="D12" s="25"/>
      <c r="E12" s="43">
        <v>183400</v>
      </c>
      <c r="F12" s="24">
        <f>SUM(B12:E12)</f>
        <v>2790665</v>
      </c>
      <c r="G12" s="29">
        <v>638600</v>
      </c>
      <c r="H12" s="29">
        <v>1344896</v>
      </c>
      <c r="I12" s="29"/>
      <c r="J12" s="29">
        <v>84661</v>
      </c>
      <c r="K12" s="24">
        <f>SUM(G12:J12)</f>
        <v>2068157</v>
      </c>
      <c r="L12" s="25">
        <f t="shared" ref="L12:M14" si="2">+B12-G12</f>
        <v>2405</v>
      </c>
      <c r="M12" s="25">
        <f t="shared" si="2"/>
        <v>621364</v>
      </c>
      <c r="N12" s="25"/>
      <c r="O12" s="25">
        <f>+E12-J12</f>
        <v>98739</v>
      </c>
      <c r="P12" s="26">
        <f>SUM(L12:O12)</f>
        <v>722508</v>
      </c>
      <c r="Q12" s="18"/>
    </row>
    <row r="13" spans="1:18" ht="12.75" customHeight="1">
      <c r="A13" s="22" t="s">
        <v>17</v>
      </c>
      <c r="B13" s="25">
        <v>60772</v>
      </c>
      <c r="C13" s="25">
        <v>1980875</v>
      </c>
      <c r="D13" s="25"/>
      <c r="E13" s="43">
        <v>9781</v>
      </c>
      <c r="F13" s="24">
        <f>SUM(B13:E13)</f>
        <v>2051428</v>
      </c>
      <c r="G13" s="29">
        <v>54207</v>
      </c>
      <c r="H13" s="29">
        <f>2117+5000+6793+1122468+2659+2527</f>
        <v>1141564</v>
      </c>
      <c r="I13" s="29"/>
      <c r="J13" s="29"/>
      <c r="K13" s="24">
        <f>SUM(G13:J13)</f>
        <v>1195771</v>
      </c>
      <c r="L13" s="25">
        <f t="shared" si="2"/>
        <v>6565</v>
      </c>
      <c r="M13" s="25">
        <f t="shared" si="2"/>
        <v>839311</v>
      </c>
      <c r="N13" s="25"/>
      <c r="O13" s="25">
        <f>+E13-J13</f>
        <v>9781</v>
      </c>
      <c r="P13" s="26">
        <f>SUM(L13:O13)</f>
        <v>855657</v>
      </c>
      <c r="Q13" s="18"/>
    </row>
    <row r="14" spans="1:18" ht="12.75" customHeight="1">
      <c r="A14" s="22" t="s">
        <v>18</v>
      </c>
      <c r="B14" s="25">
        <v>34250</v>
      </c>
      <c r="C14" s="25"/>
      <c r="D14" s="25"/>
      <c r="E14" s="43"/>
      <c r="F14" s="24">
        <f>SUM(B14:E14)</f>
        <v>34250</v>
      </c>
      <c r="G14" s="29">
        <v>34250</v>
      </c>
      <c r="H14" s="29"/>
      <c r="I14" s="29"/>
      <c r="J14" s="34"/>
      <c r="K14" s="24">
        <f>SUM(G14:J14)</f>
        <v>34250</v>
      </c>
      <c r="L14" s="25">
        <f t="shared" si="2"/>
        <v>0</v>
      </c>
      <c r="M14" s="25">
        <f t="shared" si="2"/>
        <v>0</v>
      </c>
      <c r="N14" s="25"/>
      <c r="O14" s="25">
        <f>+E14-J14</f>
        <v>0</v>
      </c>
      <c r="P14" s="26">
        <f>SUM(L14:O14)</f>
        <v>0</v>
      </c>
      <c r="Q14" s="18"/>
    </row>
    <row r="15" spans="1:18" ht="12.75" customHeight="1">
      <c r="A15" s="22" t="s">
        <v>19</v>
      </c>
      <c r="B15" s="44">
        <f t="shared" ref="B15" si="3">+B16+B17</f>
        <v>0</v>
      </c>
      <c r="C15" s="44">
        <f>+C16+C17</f>
        <v>867770</v>
      </c>
      <c r="D15" s="44">
        <f t="shared" ref="D15:K15" si="4">+D16+D17</f>
        <v>0</v>
      </c>
      <c r="E15" s="44">
        <f t="shared" si="4"/>
        <v>219909</v>
      </c>
      <c r="F15" s="44">
        <f t="shared" si="4"/>
        <v>1087679</v>
      </c>
      <c r="G15" s="44">
        <f t="shared" si="4"/>
        <v>0</v>
      </c>
      <c r="H15" s="44">
        <f t="shared" si="4"/>
        <v>151662</v>
      </c>
      <c r="I15" s="44">
        <f t="shared" si="4"/>
        <v>0</v>
      </c>
      <c r="J15" s="44">
        <f t="shared" si="4"/>
        <v>3870</v>
      </c>
      <c r="K15" s="44">
        <f t="shared" si="4"/>
        <v>155532</v>
      </c>
      <c r="L15" s="44">
        <f>+L16+L17</f>
        <v>0</v>
      </c>
      <c r="M15" s="44">
        <f>+M16+M17</f>
        <v>716108</v>
      </c>
      <c r="N15" s="44"/>
      <c r="O15" s="44">
        <f>+O16+O17</f>
        <v>216039</v>
      </c>
      <c r="P15" s="45">
        <f>+P16+P17</f>
        <v>932147</v>
      </c>
      <c r="Q15" s="18"/>
    </row>
    <row r="16" spans="1:18" ht="12.75" customHeight="1">
      <c r="A16" s="23" t="s">
        <v>20</v>
      </c>
      <c r="B16" s="25"/>
      <c r="C16" s="25">
        <v>867770</v>
      </c>
      <c r="D16" s="25"/>
      <c r="E16" s="43">
        <v>219909</v>
      </c>
      <c r="F16" s="24">
        <f>SUM(B16:E16)</f>
        <v>1087679</v>
      </c>
      <c r="G16" s="29"/>
      <c r="H16" s="29">
        <f>148394+3268</f>
        <v>151662</v>
      </c>
      <c r="I16" s="29"/>
      <c r="J16" s="29">
        <v>3870</v>
      </c>
      <c r="K16" s="24">
        <f>SUM(G16:J16)</f>
        <v>155532</v>
      </c>
      <c r="L16" s="25">
        <f>+B16-G16</f>
        <v>0</v>
      </c>
      <c r="M16" s="25">
        <f>+C16-H16</f>
        <v>716108</v>
      </c>
      <c r="N16" s="25"/>
      <c r="O16" s="25">
        <f>+E16-J16</f>
        <v>216039</v>
      </c>
      <c r="P16" s="26">
        <f>SUM(L16:O16)</f>
        <v>932147</v>
      </c>
      <c r="Q16" s="18"/>
    </row>
    <row r="17" spans="1:17" ht="12.75" customHeight="1">
      <c r="A17" s="23" t="s">
        <v>21</v>
      </c>
      <c r="B17" s="25"/>
      <c r="C17" s="25"/>
      <c r="D17" s="25"/>
      <c r="E17" s="43"/>
      <c r="F17" s="24">
        <f>SUM(B17:E17)</f>
        <v>0</v>
      </c>
      <c r="G17" s="29"/>
      <c r="H17" s="29"/>
      <c r="I17" s="29"/>
      <c r="J17" s="29"/>
      <c r="K17" s="24">
        <f>SUM(G17:J17)</f>
        <v>0</v>
      </c>
      <c r="L17" s="25">
        <f>+B17-G17</f>
        <v>0</v>
      </c>
      <c r="M17" s="25">
        <f>+C17-H17</f>
        <v>0</v>
      </c>
      <c r="N17" s="25"/>
      <c r="O17" s="25">
        <f>+E17-J17</f>
        <v>0</v>
      </c>
      <c r="P17" s="26">
        <f>SUM(L17:O17)</f>
        <v>0</v>
      </c>
      <c r="Q17" s="18"/>
    </row>
    <row r="18" spans="1:17" ht="12.75" customHeight="1">
      <c r="A18" s="83"/>
      <c r="B18" s="77"/>
      <c r="C18" s="77"/>
      <c r="D18" s="77"/>
      <c r="E18" s="75"/>
      <c r="F18" s="77"/>
      <c r="G18" s="82"/>
      <c r="H18" s="82"/>
      <c r="I18" s="82"/>
      <c r="J18" s="82"/>
      <c r="K18" s="82"/>
      <c r="L18" s="77"/>
      <c r="M18" s="77"/>
      <c r="N18" s="77"/>
      <c r="O18" s="77"/>
      <c r="P18" s="75"/>
      <c r="Q18" s="76"/>
    </row>
    <row r="19" spans="1:17">
      <c r="A19" s="80"/>
    </row>
    <row r="20" spans="1:17">
      <c r="A20" s="80"/>
    </row>
    <row r="21" spans="1:17">
      <c r="A21" s="80"/>
    </row>
    <row r="22" spans="1:17">
      <c r="A22" s="80"/>
    </row>
    <row r="23" spans="1:17">
      <c r="A23" s="80"/>
    </row>
    <row r="24" spans="1:17">
      <c r="A24" s="80"/>
    </row>
    <row r="25" spans="1:17">
      <c r="A25" s="80"/>
    </row>
    <row r="26" spans="1:17">
      <c r="A26" s="80"/>
    </row>
    <row r="27" spans="1:17">
      <c r="A27" s="80"/>
    </row>
    <row r="28" spans="1:17">
      <c r="A28" s="80"/>
    </row>
    <row r="29" spans="1:17">
      <c r="A29" s="80"/>
    </row>
    <row r="30" spans="1:17">
      <c r="A30" s="80"/>
    </row>
    <row r="31" spans="1:17">
      <c r="A31" s="80"/>
    </row>
    <row r="32" spans="1:17">
      <c r="A32" s="80"/>
    </row>
    <row r="33" spans="1:1">
      <c r="A33" s="80"/>
    </row>
    <row r="34" spans="1:1">
      <c r="A34" s="80"/>
    </row>
    <row r="35" spans="1:1">
      <c r="A35" s="80"/>
    </row>
    <row r="36" spans="1:1">
      <c r="A36" s="80"/>
    </row>
    <row r="37" spans="1:1">
      <c r="A37" s="80"/>
    </row>
    <row r="38" spans="1:1">
      <c r="A38" s="80"/>
    </row>
    <row r="39" spans="1:1">
      <c r="A39" s="80"/>
    </row>
    <row r="40" spans="1:1">
      <c r="A40" s="80"/>
    </row>
    <row r="41" spans="1:1">
      <c r="A41" s="80"/>
    </row>
    <row r="42" spans="1:1">
      <c r="A42" s="80"/>
    </row>
    <row r="43" spans="1:1">
      <c r="A43" s="80"/>
    </row>
    <row r="44" spans="1:1">
      <c r="A44" s="80"/>
    </row>
    <row r="45" spans="1:1">
      <c r="A45" s="80"/>
    </row>
    <row r="46" spans="1:1">
      <c r="A46" s="80"/>
    </row>
    <row r="47" spans="1:1">
      <c r="A47" s="80"/>
    </row>
    <row r="48" spans="1:1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  <row r="61" spans="1:1">
      <c r="A61" s="80"/>
    </row>
    <row r="62" spans="1:1">
      <c r="A62" s="80"/>
    </row>
    <row r="63" spans="1:1">
      <c r="A63" s="80"/>
    </row>
    <row r="64" spans="1:1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  <row r="1128" spans="1:1">
      <c r="A1128" s="80"/>
    </row>
    <row r="1129" spans="1:1">
      <c r="A1129" s="80"/>
    </row>
    <row r="1130" spans="1:1">
      <c r="A1130" s="80"/>
    </row>
    <row r="1131" spans="1:1">
      <c r="A1131" s="80"/>
    </row>
    <row r="1132" spans="1:1">
      <c r="A1132" s="80"/>
    </row>
    <row r="1133" spans="1:1">
      <c r="A1133" s="80"/>
    </row>
    <row r="1134" spans="1:1">
      <c r="A1134" s="80"/>
    </row>
    <row r="1135" spans="1:1">
      <c r="A1135" s="80"/>
    </row>
    <row r="1136" spans="1:1">
      <c r="A1136" s="80"/>
    </row>
    <row r="1137" spans="1:1">
      <c r="A1137" s="80"/>
    </row>
    <row r="1138" spans="1:1">
      <c r="A1138" s="80"/>
    </row>
    <row r="1139" spans="1:1">
      <c r="A1139" s="80"/>
    </row>
    <row r="1140" spans="1:1">
      <c r="A1140" s="80"/>
    </row>
    <row r="1141" spans="1:1">
      <c r="A1141" s="80"/>
    </row>
    <row r="1142" spans="1:1">
      <c r="A1142" s="80"/>
    </row>
    <row r="1143" spans="1:1">
      <c r="A1143" s="80"/>
    </row>
    <row r="1144" spans="1:1">
      <c r="A1144" s="80"/>
    </row>
    <row r="1145" spans="1:1">
      <c r="A1145" s="80"/>
    </row>
    <row r="1146" spans="1:1">
      <c r="A1146" s="80"/>
    </row>
    <row r="1147" spans="1:1">
      <c r="A1147" s="80"/>
    </row>
    <row r="1148" spans="1:1">
      <c r="A1148" s="80"/>
    </row>
    <row r="1149" spans="1:1">
      <c r="A1149" s="80"/>
    </row>
    <row r="1150" spans="1:1">
      <c r="A1150" s="80"/>
    </row>
    <row r="1151" spans="1:1">
      <c r="A1151" s="80"/>
    </row>
    <row r="1152" spans="1:1">
      <c r="A1152" s="80"/>
    </row>
    <row r="1153" spans="1:1">
      <c r="A1153" s="80"/>
    </row>
    <row r="1154" spans="1:1">
      <c r="A1154" s="80"/>
    </row>
    <row r="1155" spans="1:1">
      <c r="A1155" s="80"/>
    </row>
    <row r="1156" spans="1:1">
      <c r="A1156" s="80"/>
    </row>
    <row r="1157" spans="1:1">
      <c r="A1157" s="80"/>
    </row>
    <row r="1158" spans="1:1">
      <c r="A1158" s="80"/>
    </row>
    <row r="1159" spans="1:1">
      <c r="A1159" s="80"/>
    </row>
    <row r="1160" spans="1:1">
      <c r="A1160" s="80"/>
    </row>
    <row r="1161" spans="1:1">
      <c r="A1161" s="80"/>
    </row>
    <row r="1162" spans="1:1">
      <c r="A1162" s="80"/>
    </row>
    <row r="1163" spans="1:1">
      <c r="A1163" s="80"/>
    </row>
    <row r="1164" spans="1:1">
      <c r="A1164" s="80"/>
    </row>
    <row r="1165" spans="1:1">
      <c r="A1165" s="80"/>
    </row>
    <row r="1166" spans="1:1">
      <c r="A1166" s="80"/>
    </row>
    <row r="1167" spans="1:1">
      <c r="A1167" s="80"/>
    </row>
    <row r="1168" spans="1:1">
      <c r="A1168" s="80"/>
    </row>
    <row r="1169" spans="1:1">
      <c r="A1169" s="80"/>
    </row>
    <row r="1170" spans="1:1">
      <c r="A1170" s="80"/>
    </row>
    <row r="1171" spans="1:1">
      <c r="A1171" s="80"/>
    </row>
    <row r="1172" spans="1:1">
      <c r="A1172" s="80"/>
    </row>
    <row r="1173" spans="1:1">
      <c r="A1173" s="80"/>
    </row>
    <row r="1174" spans="1:1">
      <c r="A1174" s="80"/>
    </row>
    <row r="1175" spans="1:1">
      <c r="A1175" s="80"/>
    </row>
    <row r="1176" spans="1:1">
      <c r="A1176" s="80"/>
    </row>
    <row r="1177" spans="1:1">
      <c r="A1177" s="80"/>
    </row>
    <row r="1178" spans="1:1">
      <c r="A1178" s="80"/>
    </row>
    <row r="1179" spans="1:1">
      <c r="A1179" s="80"/>
    </row>
    <row r="1180" spans="1:1">
      <c r="A1180" s="80"/>
    </row>
    <row r="1181" spans="1:1">
      <c r="A1181" s="80"/>
    </row>
    <row r="1182" spans="1:1">
      <c r="A1182" s="80"/>
    </row>
    <row r="1183" spans="1:1">
      <c r="A1183" s="80"/>
    </row>
    <row r="1184" spans="1:1">
      <c r="A1184" s="80"/>
    </row>
    <row r="1185" spans="1:1">
      <c r="A1185" s="80"/>
    </row>
    <row r="1186" spans="1:1">
      <c r="A1186" s="80"/>
    </row>
    <row r="1187" spans="1:1">
      <c r="A1187" s="80"/>
    </row>
    <row r="1188" spans="1:1">
      <c r="A1188" s="80"/>
    </row>
    <row r="1189" spans="1:1">
      <c r="A1189" s="80"/>
    </row>
    <row r="1190" spans="1:1">
      <c r="A1190" s="80"/>
    </row>
    <row r="1191" spans="1:1">
      <c r="A1191" s="80"/>
    </row>
    <row r="1192" spans="1:1">
      <c r="A1192" s="80"/>
    </row>
    <row r="1193" spans="1:1">
      <c r="A1193" s="80"/>
    </row>
    <row r="1194" spans="1:1">
      <c r="A1194" s="80"/>
    </row>
    <row r="1195" spans="1:1">
      <c r="A1195" s="80"/>
    </row>
    <row r="1196" spans="1:1">
      <c r="A1196" s="80"/>
    </row>
    <row r="1197" spans="1:1">
      <c r="A1197" s="80"/>
    </row>
    <row r="1198" spans="1:1">
      <c r="A1198" s="80"/>
    </row>
    <row r="1199" spans="1:1">
      <c r="A1199" s="80"/>
    </row>
    <row r="1200" spans="1:1">
      <c r="A1200" s="80"/>
    </row>
    <row r="1201" spans="1:1">
      <c r="A1201" s="80"/>
    </row>
    <row r="1202" spans="1:1">
      <c r="A1202" s="80"/>
    </row>
    <row r="1203" spans="1:1">
      <c r="A1203" s="80"/>
    </row>
    <row r="1204" spans="1:1">
      <c r="A1204" s="80"/>
    </row>
    <row r="1205" spans="1:1">
      <c r="A1205" s="80"/>
    </row>
    <row r="1206" spans="1:1">
      <c r="A1206" s="80"/>
    </row>
    <row r="1207" spans="1:1">
      <c r="A1207" s="80"/>
    </row>
    <row r="1208" spans="1:1">
      <c r="A1208" s="80"/>
    </row>
    <row r="1209" spans="1:1">
      <c r="A1209" s="80"/>
    </row>
    <row r="1210" spans="1:1">
      <c r="A1210" s="80"/>
    </row>
    <row r="1211" spans="1:1">
      <c r="A1211" s="80"/>
    </row>
    <row r="1212" spans="1:1">
      <c r="A1212" s="80"/>
    </row>
    <row r="1213" spans="1:1">
      <c r="A1213" s="80"/>
    </row>
    <row r="1214" spans="1:1">
      <c r="A1214" s="80"/>
    </row>
    <row r="1215" spans="1:1">
      <c r="A1215" s="80"/>
    </row>
    <row r="1216" spans="1:1">
      <c r="A1216" s="80"/>
    </row>
    <row r="1217" spans="1:1">
      <c r="A1217" s="80"/>
    </row>
    <row r="1218" spans="1:1">
      <c r="A1218" s="80"/>
    </row>
    <row r="1219" spans="1:1">
      <c r="A1219" s="80"/>
    </row>
    <row r="1220" spans="1:1">
      <c r="A1220" s="80"/>
    </row>
    <row r="1221" spans="1:1">
      <c r="A1221" s="80"/>
    </row>
    <row r="1222" spans="1:1">
      <c r="A1222" s="80"/>
    </row>
    <row r="1223" spans="1:1">
      <c r="A1223" s="80"/>
    </row>
    <row r="1224" spans="1:1">
      <c r="A1224" s="80"/>
    </row>
    <row r="1225" spans="1:1">
      <c r="A1225" s="80"/>
    </row>
    <row r="1226" spans="1:1">
      <c r="A1226" s="80"/>
    </row>
    <row r="1227" spans="1:1">
      <c r="A1227" s="80"/>
    </row>
    <row r="1228" spans="1:1">
      <c r="A1228" s="80"/>
    </row>
    <row r="1229" spans="1:1">
      <c r="A1229" s="80"/>
    </row>
    <row r="1230" spans="1:1">
      <c r="A1230" s="80"/>
    </row>
    <row r="1231" spans="1:1">
      <c r="A1231" s="80"/>
    </row>
    <row r="1232" spans="1:1">
      <c r="A1232" s="80"/>
    </row>
    <row r="1233" spans="1:1">
      <c r="A1233" s="80"/>
    </row>
    <row r="1234" spans="1:1">
      <c r="A1234" s="80"/>
    </row>
    <row r="1235" spans="1:1">
      <c r="A1235" s="80"/>
    </row>
    <row r="1236" spans="1:1">
      <c r="A1236" s="80"/>
    </row>
    <row r="1237" spans="1:1">
      <c r="A1237" s="80"/>
    </row>
    <row r="1238" spans="1:1">
      <c r="A1238" s="80"/>
    </row>
    <row r="1239" spans="1:1">
      <c r="A1239" s="80"/>
    </row>
    <row r="1240" spans="1:1">
      <c r="A1240" s="80"/>
    </row>
    <row r="1241" spans="1:1">
      <c r="A1241" s="80"/>
    </row>
    <row r="1242" spans="1:1">
      <c r="A1242" s="80"/>
    </row>
    <row r="1243" spans="1:1">
      <c r="A1243" s="80"/>
    </row>
    <row r="1244" spans="1:1">
      <c r="A1244" s="80"/>
    </row>
    <row r="1245" spans="1:1">
      <c r="A1245" s="80"/>
    </row>
    <row r="1246" spans="1:1">
      <c r="A1246" s="80"/>
    </row>
    <row r="1247" spans="1:1">
      <c r="A1247" s="80"/>
    </row>
    <row r="1248" spans="1:1">
      <c r="A1248" s="80"/>
    </row>
    <row r="1249" spans="1:1">
      <c r="A1249" s="80"/>
    </row>
    <row r="1250" spans="1:1">
      <c r="A1250" s="80"/>
    </row>
    <row r="1251" spans="1:1">
      <c r="A1251" s="80"/>
    </row>
    <row r="1252" spans="1:1">
      <c r="A1252" s="80"/>
    </row>
    <row r="1253" spans="1:1">
      <c r="A1253" s="80"/>
    </row>
    <row r="1254" spans="1:1">
      <c r="A1254" s="80"/>
    </row>
    <row r="1255" spans="1:1">
      <c r="A1255" s="80"/>
    </row>
    <row r="1256" spans="1:1">
      <c r="A1256" s="80"/>
    </row>
    <row r="1257" spans="1:1">
      <c r="A1257" s="80"/>
    </row>
    <row r="1258" spans="1:1">
      <c r="A1258" s="80"/>
    </row>
    <row r="1259" spans="1:1">
      <c r="A1259" s="80"/>
    </row>
    <row r="1260" spans="1:1">
      <c r="A1260" s="80"/>
    </row>
    <row r="1261" spans="1:1">
      <c r="A1261" s="80"/>
    </row>
    <row r="1262" spans="1:1">
      <c r="A1262" s="80"/>
    </row>
    <row r="1263" spans="1:1">
      <c r="A1263" s="80"/>
    </row>
    <row r="1264" spans="1:1">
      <c r="A1264" s="80"/>
    </row>
    <row r="1265" spans="1:1">
      <c r="A1265" s="80"/>
    </row>
    <row r="1266" spans="1:1">
      <c r="A1266" s="80"/>
    </row>
    <row r="1267" spans="1:1">
      <c r="A1267" s="80"/>
    </row>
    <row r="1268" spans="1:1">
      <c r="A1268" s="80"/>
    </row>
    <row r="1269" spans="1:1">
      <c r="A1269" s="80"/>
    </row>
    <row r="1270" spans="1:1">
      <c r="A1270" s="80"/>
    </row>
    <row r="1271" spans="1:1">
      <c r="A1271" s="80"/>
    </row>
    <row r="1272" spans="1:1">
      <c r="A1272" s="80"/>
    </row>
    <row r="1273" spans="1:1">
      <c r="A1273" s="80"/>
    </row>
    <row r="1274" spans="1:1">
      <c r="A1274" s="80"/>
    </row>
    <row r="1275" spans="1:1">
      <c r="A1275" s="80"/>
    </row>
    <row r="1276" spans="1:1">
      <c r="A1276" s="80"/>
    </row>
    <row r="1277" spans="1:1">
      <c r="A1277" s="80"/>
    </row>
    <row r="1278" spans="1:1">
      <c r="A1278" s="80"/>
    </row>
    <row r="1279" spans="1:1">
      <c r="A1279" s="80"/>
    </row>
    <row r="1280" spans="1:1">
      <c r="A1280" s="80"/>
    </row>
    <row r="1281" spans="1:1">
      <c r="A1281" s="80"/>
    </row>
    <row r="1282" spans="1:1">
      <c r="A1282" s="80"/>
    </row>
    <row r="1283" spans="1:1">
      <c r="A1283" s="80"/>
    </row>
    <row r="1284" spans="1:1">
      <c r="A1284" s="80"/>
    </row>
    <row r="1285" spans="1:1">
      <c r="A1285" s="80"/>
    </row>
    <row r="1286" spans="1:1">
      <c r="A1286" s="80"/>
    </row>
    <row r="1287" spans="1:1">
      <c r="A1287" s="80"/>
    </row>
    <row r="1288" spans="1:1">
      <c r="A1288" s="80"/>
    </row>
    <row r="1289" spans="1:1">
      <c r="A1289" s="80"/>
    </row>
    <row r="1290" spans="1:1">
      <c r="A1290" s="80"/>
    </row>
    <row r="1291" spans="1:1">
      <c r="A1291" s="80"/>
    </row>
    <row r="1292" spans="1:1">
      <c r="A1292" s="80"/>
    </row>
    <row r="1293" spans="1:1">
      <c r="A1293" s="80"/>
    </row>
    <row r="1294" spans="1:1">
      <c r="A1294" s="80"/>
    </row>
    <row r="1295" spans="1:1">
      <c r="A1295" s="80"/>
    </row>
    <row r="1296" spans="1:1">
      <c r="A1296" s="80"/>
    </row>
    <row r="1297" spans="1:1">
      <c r="A1297" s="80"/>
    </row>
    <row r="1298" spans="1:1">
      <c r="A1298" s="80"/>
    </row>
    <row r="1299" spans="1:1">
      <c r="A1299" s="80"/>
    </row>
    <row r="1300" spans="1:1">
      <c r="A1300" s="80"/>
    </row>
    <row r="1301" spans="1:1">
      <c r="A1301" s="80"/>
    </row>
    <row r="1302" spans="1:1">
      <c r="A1302" s="80"/>
    </row>
    <row r="1303" spans="1:1">
      <c r="A1303" s="80"/>
    </row>
    <row r="1304" spans="1:1">
      <c r="A1304" s="80"/>
    </row>
    <row r="1305" spans="1:1">
      <c r="A1305" s="80"/>
    </row>
    <row r="1306" spans="1:1">
      <c r="A1306" s="80"/>
    </row>
    <row r="1307" spans="1:1">
      <c r="A1307" s="80"/>
    </row>
    <row r="1308" spans="1:1">
      <c r="A1308" s="80"/>
    </row>
    <row r="1309" spans="1:1">
      <c r="A1309" s="80"/>
    </row>
    <row r="1310" spans="1:1">
      <c r="A1310" s="80"/>
    </row>
    <row r="1311" spans="1:1">
      <c r="A1311" s="80"/>
    </row>
    <row r="1312" spans="1:1">
      <c r="A1312" s="80"/>
    </row>
    <row r="1313" spans="1:1">
      <c r="A1313" s="80"/>
    </row>
    <row r="1314" spans="1:1">
      <c r="A1314" s="80"/>
    </row>
    <row r="1315" spans="1:1">
      <c r="A1315" s="80"/>
    </row>
    <row r="1316" spans="1:1">
      <c r="A1316" s="80"/>
    </row>
    <row r="1317" spans="1:1">
      <c r="A1317" s="80"/>
    </row>
    <row r="1318" spans="1:1">
      <c r="A1318" s="80"/>
    </row>
    <row r="1319" spans="1:1">
      <c r="A1319" s="80"/>
    </row>
    <row r="1320" spans="1:1">
      <c r="A1320" s="80"/>
    </row>
    <row r="1321" spans="1:1">
      <c r="A1321" s="80"/>
    </row>
    <row r="1322" spans="1:1">
      <c r="A1322" s="80"/>
    </row>
    <row r="1323" spans="1:1">
      <c r="A1323" s="80"/>
    </row>
    <row r="1324" spans="1:1">
      <c r="A1324" s="80"/>
    </row>
    <row r="1325" spans="1:1">
      <c r="A1325" s="80"/>
    </row>
    <row r="1326" spans="1:1">
      <c r="A1326" s="80"/>
    </row>
    <row r="1327" spans="1:1">
      <c r="A1327" s="80"/>
    </row>
    <row r="1328" spans="1:1">
      <c r="A1328" s="80"/>
    </row>
    <row r="1329" spans="1:1">
      <c r="A1329" s="80"/>
    </row>
    <row r="1330" spans="1:1">
      <c r="A1330" s="80"/>
    </row>
    <row r="1331" spans="1:1">
      <c r="A1331" s="80"/>
    </row>
    <row r="1332" spans="1:1">
      <c r="A1332" s="80"/>
    </row>
    <row r="1333" spans="1:1">
      <c r="A1333" s="80"/>
    </row>
    <row r="1334" spans="1:1">
      <c r="A1334" s="80"/>
    </row>
    <row r="1335" spans="1:1">
      <c r="A1335" s="80"/>
    </row>
    <row r="1336" spans="1:1">
      <c r="A1336" s="80"/>
    </row>
    <row r="1337" spans="1:1">
      <c r="A1337" s="80"/>
    </row>
    <row r="1338" spans="1:1">
      <c r="A1338" s="80"/>
    </row>
    <row r="1339" spans="1:1">
      <c r="A1339" s="80"/>
    </row>
    <row r="1340" spans="1:1">
      <c r="A1340" s="80"/>
    </row>
    <row r="1341" spans="1:1">
      <c r="A1341" s="80"/>
    </row>
    <row r="1342" spans="1:1">
      <c r="A1342" s="80"/>
    </row>
    <row r="1343" spans="1:1">
      <c r="A1343" s="80"/>
    </row>
    <row r="1344" spans="1:1">
      <c r="A1344" s="80"/>
    </row>
    <row r="1345" spans="1:1">
      <c r="A1345" s="80"/>
    </row>
    <row r="1346" spans="1:1">
      <c r="A1346" s="80"/>
    </row>
    <row r="1347" spans="1:1">
      <c r="A1347" s="80"/>
    </row>
    <row r="1348" spans="1:1">
      <c r="A1348" s="80"/>
    </row>
    <row r="1349" spans="1:1">
      <c r="A1349" s="80"/>
    </row>
    <row r="1350" spans="1:1">
      <c r="A1350" s="80"/>
    </row>
    <row r="1351" spans="1:1">
      <c r="A1351" s="80"/>
    </row>
    <row r="1352" spans="1:1">
      <c r="A1352" s="80"/>
    </row>
    <row r="1353" spans="1:1">
      <c r="A1353" s="80"/>
    </row>
    <row r="1354" spans="1:1">
      <c r="A1354" s="80"/>
    </row>
    <row r="1355" spans="1:1">
      <c r="A1355" s="80"/>
    </row>
    <row r="1356" spans="1:1">
      <c r="A1356" s="80"/>
    </row>
    <row r="1357" spans="1:1">
      <c r="A1357" s="80"/>
    </row>
    <row r="1358" spans="1:1">
      <c r="A1358" s="80"/>
    </row>
    <row r="1359" spans="1:1">
      <c r="A1359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2" fitToWidth="0" fitToHeight="0" orientation="landscape" r:id="rId1"/>
  <headerFooter alignWithMargins="0">
    <oddFooter>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170"/>
  <sheetViews>
    <sheetView showRuler="0" zoomScaleSheetLayoutView="100" workbookViewId="0">
      <pane xSplit="1" ySplit="8" topLeftCell="B33" activePane="bottomRight" state="frozen"/>
      <selection activeCell="A155" sqref="A155:Q155"/>
      <selection pane="topRight" activeCell="A155" sqref="A155:Q155"/>
      <selection pane="bottomLeft" activeCell="A155" sqref="A155:Q155"/>
      <selection pane="bottomRight" activeCell="A155" sqref="A155:Q155"/>
    </sheetView>
  </sheetViews>
  <sheetFormatPr defaultRowHeight="12.75"/>
  <cols>
    <col min="1" max="1" width="34.8554687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59" t="s">
        <v>137</v>
      </c>
      <c r="B10" s="17">
        <f t="shared" ref="B10:P10" si="0">+B11+B15</f>
        <v>436350</v>
      </c>
      <c r="C10" s="17">
        <f t="shared" si="0"/>
        <v>1500334</v>
      </c>
      <c r="D10" s="17">
        <f t="shared" si="0"/>
        <v>7175</v>
      </c>
      <c r="E10" s="17">
        <f t="shared" si="0"/>
        <v>202613</v>
      </c>
      <c r="F10" s="17">
        <f t="shared" si="0"/>
        <v>2146472</v>
      </c>
      <c r="G10" s="17">
        <f t="shared" si="0"/>
        <v>418920</v>
      </c>
      <c r="H10" s="17">
        <f t="shared" si="0"/>
        <v>1356824</v>
      </c>
      <c r="I10" s="17">
        <f t="shared" si="0"/>
        <v>1861</v>
      </c>
      <c r="J10" s="17">
        <f t="shared" si="0"/>
        <v>180867</v>
      </c>
      <c r="K10" s="17">
        <f t="shared" si="0"/>
        <v>1958472</v>
      </c>
      <c r="L10" s="17">
        <f t="shared" si="0"/>
        <v>17430</v>
      </c>
      <c r="M10" s="17">
        <f t="shared" si="0"/>
        <v>143510</v>
      </c>
      <c r="N10" s="17">
        <f t="shared" si="0"/>
        <v>5314</v>
      </c>
      <c r="O10" s="17">
        <f t="shared" si="0"/>
        <v>21746</v>
      </c>
      <c r="P10" s="17">
        <f t="shared" si="0"/>
        <v>188000</v>
      </c>
      <c r="Q10" s="18">
        <f>+K10/F10</f>
        <v>0.91241441770495957</v>
      </c>
    </row>
    <row r="11" spans="1:18" ht="12.75" customHeight="1">
      <c r="A11" s="58" t="s">
        <v>15</v>
      </c>
      <c r="B11" s="20">
        <f t="shared" ref="B11:P11" si="1">+B12+B13+B14</f>
        <v>436350</v>
      </c>
      <c r="C11" s="20">
        <f t="shared" si="1"/>
        <v>1442023</v>
      </c>
      <c r="D11" s="20">
        <f t="shared" si="1"/>
        <v>7175</v>
      </c>
      <c r="E11" s="20">
        <f t="shared" si="1"/>
        <v>201718</v>
      </c>
      <c r="F11" s="20">
        <f t="shared" si="1"/>
        <v>2087266</v>
      </c>
      <c r="G11" s="20">
        <f t="shared" si="1"/>
        <v>418920</v>
      </c>
      <c r="H11" s="20">
        <f t="shared" si="1"/>
        <v>1356824</v>
      </c>
      <c r="I11" s="20">
        <f t="shared" si="1"/>
        <v>1861</v>
      </c>
      <c r="J11" s="20">
        <f t="shared" si="1"/>
        <v>180867</v>
      </c>
      <c r="K11" s="20">
        <f t="shared" si="1"/>
        <v>1958472</v>
      </c>
      <c r="L11" s="20">
        <f t="shared" si="1"/>
        <v>17430</v>
      </c>
      <c r="M11" s="20">
        <f t="shared" si="1"/>
        <v>85199</v>
      </c>
      <c r="N11" s="20">
        <f t="shared" si="1"/>
        <v>5314</v>
      </c>
      <c r="O11" s="20">
        <f t="shared" si="1"/>
        <v>20851</v>
      </c>
      <c r="P11" s="21">
        <f t="shared" si="1"/>
        <v>128794</v>
      </c>
      <c r="Q11" s="18"/>
    </row>
    <row r="12" spans="1:18" ht="12.75" customHeight="1">
      <c r="A12" s="22" t="s">
        <v>16</v>
      </c>
      <c r="B12" s="23">
        <f t="shared" ref="B12:E14" si="2">+B21+B30+B39</f>
        <v>343145</v>
      </c>
      <c r="C12" s="23">
        <f t="shared" si="2"/>
        <v>1442023</v>
      </c>
      <c r="D12" s="23">
        <f t="shared" si="2"/>
        <v>7175</v>
      </c>
      <c r="E12" s="23">
        <f t="shared" si="2"/>
        <v>201718</v>
      </c>
      <c r="F12" s="24">
        <f>SUM(B12:E12)</f>
        <v>1994061</v>
      </c>
      <c r="G12" s="23">
        <f t="shared" ref="G12:J14" si="3">+G21+G30+G39</f>
        <v>333100</v>
      </c>
      <c r="H12" s="23">
        <f t="shared" si="3"/>
        <v>1356824</v>
      </c>
      <c r="I12" s="23">
        <f t="shared" si="3"/>
        <v>1861</v>
      </c>
      <c r="J12" s="23">
        <f t="shared" si="3"/>
        <v>180867</v>
      </c>
      <c r="K12" s="24">
        <f>SUM(G12:J12)</f>
        <v>1872652</v>
      </c>
      <c r="L12" s="25">
        <f t="shared" ref="L12:O14" si="4">+B12-G12</f>
        <v>10045</v>
      </c>
      <c r="M12" s="25">
        <f t="shared" si="4"/>
        <v>85199</v>
      </c>
      <c r="N12" s="25">
        <f t="shared" si="4"/>
        <v>5314</v>
      </c>
      <c r="O12" s="25">
        <f t="shared" si="4"/>
        <v>20851</v>
      </c>
      <c r="P12" s="26">
        <f>SUM(L12:O12)</f>
        <v>121409</v>
      </c>
      <c r="Q12" s="18"/>
    </row>
    <row r="13" spans="1:18" ht="12.75" customHeight="1">
      <c r="A13" s="22" t="s">
        <v>17</v>
      </c>
      <c r="B13" s="23">
        <f t="shared" si="2"/>
        <v>67756</v>
      </c>
      <c r="C13" s="23">
        <f t="shared" si="2"/>
        <v>0</v>
      </c>
      <c r="D13" s="23">
        <f t="shared" si="2"/>
        <v>0</v>
      </c>
      <c r="E13" s="23">
        <f t="shared" si="2"/>
        <v>0</v>
      </c>
      <c r="F13" s="24">
        <f>SUM(B13:E13)</f>
        <v>67756</v>
      </c>
      <c r="G13" s="23">
        <f t="shared" si="3"/>
        <v>61342</v>
      </c>
      <c r="H13" s="23">
        <f t="shared" si="3"/>
        <v>0</v>
      </c>
      <c r="I13" s="23">
        <f t="shared" si="3"/>
        <v>0</v>
      </c>
      <c r="J13" s="23">
        <f t="shared" si="3"/>
        <v>0</v>
      </c>
      <c r="K13" s="24">
        <f>SUM(G13:J13)</f>
        <v>61342</v>
      </c>
      <c r="L13" s="25">
        <f t="shared" si="4"/>
        <v>6414</v>
      </c>
      <c r="M13" s="25">
        <f t="shared" si="4"/>
        <v>0</v>
      </c>
      <c r="N13" s="25">
        <f t="shared" si="4"/>
        <v>0</v>
      </c>
      <c r="O13" s="25">
        <f t="shared" si="4"/>
        <v>0</v>
      </c>
      <c r="P13" s="26">
        <f>SUM(L13:O13)</f>
        <v>6414</v>
      </c>
      <c r="Q13" s="18"/>
    </row>
    <row r="14" spans="1:18" ht="12.75" customHeight="1">
      <c r="A14" s="22" t="s">
        <v>18</v>
      </c>
      <c r="B14" s="23">
        <f t="shared" si="2"/>
        <v>25449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4">
        <f>SUM(B14:E14)</f>
        <v>25449</v>
      </c>
      <c r="G14" s="23">
        <f t="shared" si="3"/>
        <v>24478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4">
        <f>SUM(G14:J14)</f>
        <v>24478</v>
      </c>
      <c r="L14" s="25">
        <f t="shared" si="4"/>
        <v>971</v>
      </c>
      <c r="M14" s="25">
        <f t="shared" si="4"/>
        <v>0</v>
      </c>
      <c r="N14" s="25">
        <f t="shared" si="4"/>
        <v>0</v>
      </c>
      <c r="O14" s="25">
        <f t="shared" si="4"/>
        <v>0</v>
      </c>
      <c r="P14" s="26">
        <f>SUM(L14:O14)</f>
        <v>971</v>
      </c>
      <c r="Q14" s="18"/>
    </row>
    <row r="15" spans="1:18" ht="12.75" customHeight="1">
      <c r="A15" s="22" t="s">
        <v>19</v>
      </c>
      <c r="B15" s="44">
        <f t="shared" ref="B15:P15" si="5">+B16+B17</f>
        <v>0</v>
      </c>
      <c r="C15" s="44">
        <f t="shared" si="5"/>
        <v>58311</v>
      </c>
      <c r="D15" s="44">
        <f t="shared" si="5"/>
        <v>0</v>
      </c>
      <c r="E15" s="45">
        <f t="shared" si="5"/>
        <v>895</v>
      </c>
      <c r="F15" s="44">
        <f t="shared" si="5"/>
        <v>59206</v>
      </c>
      <c r="G15" s="44">
        <f t="shared" si="5"/>
        <v>0</v>
      </c>
      <c r="H15" s="44">
        <f t="shared" si="5"/>
        <v>0</v>
      </c>
      <c r="I15" s="44">
        <f t="shared" si="5"/>
        <v>0</v>
      </c>
      <c r="J15" s="45">
        <f t="shared" si="5"/>
        <v>0</v>
      </c>
      <c r="K15" s="44">
        <f t="shared" si="5"/>
        <v>0</v>
      </c>
      <c r="L15" s="44">
        <f t="shared" si="5"/>
        <v>0</v>
      </c>
      <c r="M15" s="44">
        <f t="shared" si="5"/>
        <v>58311</v>
      </c>
      <c r="N15" s="44">
        <f t="shared" si="5"/>
        <v>0</v>
      </c>
      <c r="O15" s="44">
        <f t="shared" si="5"/>
        <v>895</v>
      </c>
      <c r="P15" s="45">
        <f t="shared" si="5"/>
        <v>59206</v>
      </c>
      <c r="Q15" s="18"/>
    </row>
    <row r="16" spans="1:18" ht="12.75" customHeight="1">
      <c r="A16" s="22" t="s">
        <v>20</v>
      </c>
      <c r="B16" s="23">
        <f t="shared" ref="B16:E17" si="6">+B25+B34+B43</f>
        <v>0</v>
      </c>
      <c r="C16" s="23">
        <f t="shared" si="6"/>
        <v>58311</v>
      </c>
      <c r="D16" s="23">
        <f t="shared" si="6"/>
        <v>0</v>
      </c>
      <c r="E16" s="23">
        <f t="shared" si="6"/>
        <v>895</v>
      </c>
      <c r="F16" s="24">
        <f>SUM(B16:E16)</f>
        <v>59206</v>
      </c>
      <c r="G16" s="23">
        <f t="shared" ref="G16:J17" si="7">+G25+G34+G43</f>
        <v>0</v>
      </c>
      <c r="H16" s="23">
        <f t="shared" si="7"/>
        <v>0</v>
      </c>
      <c r="I16" s="23">
        <f t="shared" si="7"/>
        <v>0</v>
      </c>
      <c r="J16" s="23">
        <f t="shared" si="7"/>
        <v>0</v>
      </c>
      <c r="K16" s="24">
        <f>SUM(G16:J16)</f>
        <v>0</v>
      </c>
      <c r="L16" s="25">
        <f t="shared" ref="L16:O17" si="8">+B16-G16</f>
        <v>0</v>
      </c>
      <c r="M16" s="25">
        <f t="shared" si="8"/>
        <v>58311</v>
      </c>
      <c r="N16" s="25">
        <f t="shared" si="8"/>
        <v>0</v>
      </c>
      <c r="O16" s="25">
        <f t="shared" si="8"/>
        <v>895</v>
      </c>
      <c r="P16" s="26">
        <f>SUM(L16:O16)</f>
        <v>59206</v>
      </c>
      <c r="Q16" s="18"/>
    </row>
    <row r="17" spans="1:17" ht="12.75" customHeight="1">
      <c r="A17" s="22" t="s">
        <v>21</v>
      </c>
      <c r="B17" s="23">
        <f t="shared" si="6"/>
        <v>0</v>
      </c>
      <c r="C17" s="23">
        <f t="shared" si="6"/>
        <v>0</v>
      </c>
      <c r="D17" s="23">
        <f t="shared" si="6"/>
        <v>0</v>
      </c>
      <c r="E17" s="23">
        <f t="shared" si="6"/>
        <v>0</v>
      </c>
      <c r="F17" s="24">
        <f>SUM(B17:E17)</f>
        <v>0</v>
      </c>
      <c r="G17" s="23">
        <f t="shared" si="7"/>
        <v>0</v>
      </c>
      <c r="H17" s="23">
        <f t="shared" si="7"/>
        <v>0</v>
      </c>
      <c r="I17" s="23">
        <f t="shared" si="7"/>
        <v>0</v>
      </c>
      <c r="J17" s="23">
        <f t="shared" si="7"/>
        <v>0</v>
      </c>
      <c r="K17" s="24">
        <f>SUM(G17:J17)</f>
        <v>0</v>
      </c>
      <c r="L17" s="25">
        <f t="shared" si="8"/>
        <v>0</v>
      </c>
      <c r="M17" s="25">
        <f t="shared" si="8"/>
        <v>0</v>
      </c>
      <c r="N17" s="25">
        <f t="shared" si="8"/>
        <v>0</v>
      </c>
      <c r="O17" s="25">
        <f t="shared" si="8"/>
        <v>0</v>
      </c>
      <c r="P17" s="26">
        <f>SUM(L17:O17)</f>
        <v>0</v>
      </c>
      <c r="Q17" s="18"/>
    </row>
    <row r="18" spans="1:17" ht="12.75" customHeight="1">
      <c r="A18" s="22"/>
      <c r="B18" s="25"/>
      <c r="C18" s="25"/>
      <c r="D18" s="25"/>
      <c r="E18" s="43"/>
      <c r="F18" s="24"/>
      <c r="G18" s="47"/>
      <c r="H18" s="47"/>
      <c r="I18" s="47"/>
      <c r="J18" s="47"/>
      <c r="K18" s="32"/>
      <c r="L18" s="25"/>
      <c r="M18" s="25"/>
      <c r="N18" s="25"/>
      <c r="O18" s="25"/>
      <c r="P18" s="26"/>
      <c r="Q18" s="18"/>
    </row>
    <row r="19" spans="1:17" ht="12.75" customHeight="1">
      <c r="A19" s="57" t="s">
        <v>31</v>
      </c>
      <c r="B19" s="17">
        <f t="shared" ref="B19:K19" si="9">+B20+B24</f>
        <v>356319</v>
      </c>
      <c r="C19" s="17">
        <f t="shared" si="9"/>
        <v>1382392</v>
      </c>
      <c r="D19" s="17">
        <f t="shared" si="9"/>
        <v>7175</v>
      </c>
      <c r="E19" s="17">
        <f t="shared" si="9"/>
        <v>107870</v>
      </c>
      <c r="F19" s="17">
        <f t="shared" si="9"/>
        <v>1853756</v>
      </c>
      <c r="G19" s="17">
        <f t="shared" si="9"/>
        <v>339087</v>
      </c>
      <c r="H19" s="17">
        <f t="shared" si="9"/>
        <v>1239732</v>
      </c>
      <c r="I19" s="17">
        <f t="shared" si="9"/>
        <v>1861</v>
      </c>
      <c r="J19" s="17">
        <f t="shared" si="9"/>
        <v>103808</v>
      </c>
      <c r="K19" s="17">
        <f t="shared" si="9"/>
        <v>1684488</v>
      </c>
      <c r="L19" s="17">
        <f>+L20+L24</f>
        <v>17232</v>
      </c>
      <c r="M19" s="17">
        <f>+M20+M24</f>
        <v>142660</v>
      </c>
      <c r="N19" s="17">
        <f>+N20+N24</f>
        <v>5314</v>
      </c>
      <c r="O19" s="17">
        <f>+O20+O24</f>
        <v>4062</v>
      </c>
      <c r="P19" s="17">
        <f>+P20+P24</f>
        <v>169268</v>
      </c>
      <c r="Q19" s="18">
        <f>+K19/F19</f>
        <v>0.90868916944840639</v>
      </c>
    </row>
    <row r="20" spans="1:17" ht="12.75" customHeight="1">
      <c r="A20" s="58" t="s">
        <v>15</v>
      </c>
      <c r="B20" s="20">
        <f t="shared" ref="B20:K20" si="10">+B21+B22+B23</f>
        <v>356319</v>
      </c>
      <c r="C20" s="20">
        <f t="shared" si="10"/>
        <v>1324385</v>
      </c>
      <c r="D20" s="20">
        <f t="shared" si="10"/>
        <v>7175</v>
      </c>
      <c r="E20" s="20">
        <f t="shared" si="10"/>
        <v>106976</v>
      </c>
      <c r="F20" s="20">
        <f t="shared" si="10"/>
        <v>1794855</v>
      </c>
      <c r="G20" s="20">
        <f t="shared" si="10"/>
        <v>339087</v>
      </c>
      <c r="H20" s="20">
        <f t="shared" si="10"/>
        <v>1239732</v>
      </c>
      <c r="I20" s="20">
        <f t="shared" si="10"/>
        <v>1861</v>
      </c>
      <c r="J20" s="20">
        <f t="shared" si="10"/>
        <v>103808</v>
      </c>
      <c r="K20" s="20">
        <f t="shared" si="10"/>
        <v>1684488</v>
      </c>
      <c r="L20" s="20">
        <f t="shared" ref="L20:P20" si="11">+L21+L22+L23</f>
        <v>17232</v>
      </c>
      <c r="M20" s="20">
        <f t="shared" si="11"/>
        <v>84653</v>
      </c>
      <c r="N20" s="20">
        <f t="shared" si="11"/>
        <v>5314</v>
      </c>
      <c r="O20" s="20">
        <f t="shared" si="11"/>
        <v>3168</v>
      </c>
      <c r="P20" s="21">
        <f t="shared" si="11"/>
        <v>110367</v>
      </c>
      <c r="Q20" s="18"/>
    </row>
    <row r="21" spans="1:17" ht="12.75" customHeight="1">
      <c r="A21" s="22" t="s">
        <v>16</v>
      </c>
      <c r="B21" s="29">
        <v>274614</v>
      </c>
      <c r="C21" s="29">
        <v>1324385</v>
      </c>
      <c r="D21" s="29">
        <v>7175</v>
      </c>
      <c r="E21" s="30">
        <v>106976</v>
      </c>
      <c r="F21" s="24">
        <f>SUM(B21:E21)</f>
        <v>1713150</v>
      </c>
      <c r="G21" s="29">
        <v>264573</v>
      </c>
      <c r="H21" s="29">
        <v>1239732</v>
      </c>
      <c r="I21" s="29">
        <v>1861</v>
      </c>
      <c r="J21" s="29">
        <v>103808</v>
      </c>
      <c r="K21" s="24">
        <f>SUM(G21:J21)</f>
        <v>1609974</v>
      </c>
      <c r="L21" s="25">
        <f t="shared" ref="L21:N23" si="12">+B21-G21</f>
        <v>10041</v>
      </c>
      <c r="M21" s="25">
        <f t="shared" si="12"/>
        <v>84653</v>
      </c>
      <c r="N21" s="25">
        <f t="shared" si="12"/>
        <v>5314</v>
      </c>
      <c r="O21" s="25">
        <f>+E21-J21</f>
        <v>3168</v>
      </c>
      <c r="P21" s="26">
        <f>SUM(L21:O21)</f>
        <v>103176</v>
      </c>
      <c r="Q21" s="18"/>
    </row>
    <row r="22" spans="1:17" ht="12.75" customHeight="1">
      <c r="A22" s="22" t="s">
        <v>17</v>
      </c>
      <c r="B22" s="29">
        <v>62547</v>
      </c>
      <c r="C22" s="29"/>
      <c r="D22" s="29"/>
      <c r="E22" s="30"/>
      <c r="F22" s="24">
        <f>SUM(B22:E22)</f>
        <v>62547</v>
      </c>
      <c r="G22" s="29">
        <f>11366+44787</f>
        <v>56153</v>
      </c>
      <c r="H22" s="29"/>
      <c r="I22" s="29"/>
      <c r="J22" s="34"/>
      <c r="K22" s="24">
        <f>SUM(G22:J22)</f>
        <v>56153</v>
      </c>
      <c r="L22" s="25">
        <f t="shared" si="12"/>
        <v>6394</v>
      </c>
      <c r="M22" s="25">
        <f t="shared" si="12"/>
        <v>0</v>
      </c>
      <c r="N22" s="25"/>
      <c r="O22" s="25">
        <f>+E22-J22</f>
        <v>0</v>
      </c>
      <c r="P22" s="26">
        <f>SUM(L22:O22)</f>
        <v>6394</v>
      </c>
      <c r="Q22" s="18"/>
    </row>
    <row r="23" spans="1:17" ht="12.75" customHeight="1">
      <c r="A23" s="22" t="s">
        <v>18</v>
      </c>
      <c r="B23" s="29">
        <v>19158</v>
      </c>
      <c r="C23" s="34"/>
      <c r="D23" s="34"/>
      <c r="E23" s="35"/>
      <c r="F23" s="24">
        <f>SUM(B23:E23)</f>
        <v>19158</v>
      </c>
      <c r="G23" s="29">
        <v>18361</v>
      </c>
      <c r="H23" s="34"/>
      <c r="I23" s="34"/>
      <c r="J23" s="34"/>
      <c r="K23" s="24">
        <f>SUM(G23:J23)</f>
        <v>18361</v>
      </c>
      <c r="L23" s="25">
        <f t="shared" si="12"/>
        <v>797</v>
      </c>
      <c r="M23" s="25">
        <f t="shared" si="12"/>
        <v>0</v>
      </c>
      <c r="N23" s="25"/>
      <c r="O23" s="25">
        <f>+E23-J23</f>
        <v>0</v>
      </c>
      <c r="P23" s="26">
        <f>SUM(L23:O23)</f>
        <v>797</v>
      </c>
      <c r="Q23" s="18"/>
    </row>
    <row r="24" spans="1:17" ht="12.75" customHeight="1">
      <c r="A24" s="22" t="s">
        <v>19</v>
      </c>
      <c r="B24" s="27">
        <f t="shared" ref="B24:K24" si="13">+B25+B26</f>
        <v>0</v>
      </c>
      <c r="C24" s="27">
        <f t="shared" si="13"/>
        <v>58007</v>
      </c>
      <c r="D24" s="27">
        <f t="shared" si="13"/>
        <v>0</v>
      </c>
      <c r="E24" s="27">
        <f t="shared" si="13"/>
        <v>894</v>
      </c>
      <c r="F24" s="27">
        <f t="shared" si="13"/>
        <v>58901</v>
      </c>
      <c r="G24" s="27">
        <f t="shared" si="13"/>
        <v>0</v>
      </c>
      <c r="H24" s="27">
        <f t="shared" si="13"/>
        <v>0</v>
      </c>
      <c r="I24" s="27">
        <f t="shared" si="13"/>
        <v>0</v>
      </c>
      <c r="J24" s="27">
        <f t="shared" si="13"/>
        <v>0</v>
      </c>
      <c r="K24" s="27">
        <f t="shared" si="13"/>
        <v>0</v>
      </c>
      <c r="L24" s="27">
        <f>+L25+L26</f>
        <v>0</v>
      </c>
      <c r="M24" s="27">
        <f>+M25+M26</f>
        <v>58007</v>
      </c>
      <c r="N24" s="27"/>
      <c r="O24" s="27">
        <f>+O25+O26</f>
        <v>894</v>
      </c>
      <c r="P24" s="28">
        <f>+P25+P26</f>
        <v>58901</v>
      </c>
      <c r="Q24" s="18"/>
    </row>
    <row r="25" spans="1:17" ht="12.75" customHeight="1">
      <c r="A25" s="22" t="s">
        <v>20</v>
      </c>
      <c r="B25" s="29"/>
      <c r="C25" s="29">
        <v>58007</v>
      </c>
      <c r="D25" s="29"/>
      <c r="E25" s="30">
        <v>894</v>
      </c>
      <c r="F25" s="24">
        <f>SUM(B25:E25)</f>
        <v>58901</v>
      </c>
      <c r="G25" s="29"/>
      <c r="H25" s="24"/>
      <c r="I25" s="24"/>
      <c r="J25" s="29"/>
      <c r="K25" s="24">
        <f>SUM(G25:J25)</f>
        <v>0</v>
      </c>
      <c r="L25" s="25">
        <f>+B25-G25</f>
        <v>0</v>
      </c>
      <c r="M25" s="25">
        <f>+C25-H25</f>
        <v>58007</v>
      </c>
      <c r="N25" s="25"/>
      <c r="O25" s="25">
        <f>+E25-J25</f>
        <v>894</v>
      </c>
      <c r="P25" s="26">
        <f>SUM(L25:O25)</f>
        <v>58901</v>
      </c>
      <c r="Q25" s="18"/>
    </row>
    <row r="26" spans="1:17" ht="12.75" customHeight="1">
      <c r="A26" s="22" t="s">
        <v>21</v>
      </c>
      <c r="B26" s="29"/>
      <c r="C26" s="29"/>
      <c r="D26" s="29"/>
      <c r="E26" s="30"/>
      <c r="F26" s="24">
        <f>SUM(B26:E26)</f>
        <v>0</v>
      </c>
      <c r="G26" s="29"/>
      <c r="H26" s="29"/>
      <c r="I26" s="29"/>
      <c r="J26" s="29"/>
      <c r="K26" s="24">
        <f>SUM(G26:J26)</f>
        <v>0</v>
      </c>
      <c r="L26" s="25">
        <f>+B26-G26</f>
        <v>0</v>
      </c>
      <c r="M26" s="25">
        <f>+C26-H26</f>
        <v>0</v>
      </c>
      <c r="N26" s="25"/>
      <c r="O26" s="25">
        <f>+E26-J26</f>
        <v>0</v>
      </c>
      <c r="P26" s="26">
        <f>SUM(L26:O26)</f>
        <v>0</v>
      </c>
      <c r="Q26" s="18"/>
    </row>
    <row r="27" spans="1:17" ht="12.75" customHeight="1">
      <c r="A27" s="57"/>
      <c r="B27" s="25"/>
      <c r="C27" s="25"/>
      <c r="D27" s="25"/>
      <c r="E27" s="43"/>
      <c r="F27" s="24"/>
      <c r="G27" s="25"/>
      <c r="H27" s="25"/>
      <c r="I27" s="25"/>
      <c r="J27" s="25"/>
      <c r="K27" s="24"/>
      <c r="L27" s="25"/>
      <c r="M27" s="25"/>
      <c r="N27" s="25"/>
      <c r="O27" s="25"/>
      <c r="P27" s="26"/>
      <c r="Q27" s="18"/>
    </row>
    <row r="28" spans="1:17" ht="12.75" customHeight="1">
      <c r="A28" s="57" t="s">
        <v>138</v>
      </c>
      <c r="B28" s="17">
        <f t="shared" ref="B28:K28" si="14">+B29+B33</f>
        <v>22022</v>
      </c>
      <c r="C28" s="17">
        <f t="shared" si="14"/>
        <v>14165</v>
      </c>
      <c r="D28" s="17">
        <f t="shared" si="14"/>
        <v>0</v>
      </c>
      <c r="E28" s="17">
        <f t="shared" si="14"/>
        <v>0</v>
      </c>
      <c r="F28" s="17">
        <f t="shared" si="14"/>
        <v>36187</v>
      </c>
      <c r="G28" s="17">
        <f t="shared" si="14"/>
        <v>22017</v>
      </c>
      <c r="H28" s="17">
        <f t="shared" si="14"/>
        <v>13946</v>
      </c>
      <c r="I28" s="17">
        <f t="shared" si="14"/>
        <v>0</v>
      </c>
      <c r="J28" s="17">
        <f t="shared" si="14"/>
        <v>0</v>
      </c>
      <c r="K28" s="17">
        <f t="shared" si="14"/>
        <v>35963</v>
      </c>
      <c r="L28" s="17">
        <f>+L29+L33</f>
        <v>5</v>
      </c>
      <c r="M28" s="17">
        <f>+M29+M33</f>
        <v>219</v>
      </c>
      <c r="N28" s="17"/>
      <c r="O28" s="17">
        <f>+O29+O33</f>
        <v>0</v>
      </c>
      <c r="P28" s="17">
        <f>+P29+P33</f>
        <v>224</v>
      </c>
      <c r="Q28" s="18">
        <f>+K28/F28</f>
        <v>0.99380993174344379</v>
      </c>
    </row>
    <row r="29" spans="1:17" ht="12.75" customHeight="1">
      <c r="A29" s="58" t="s">
        <v>15</v>
      </c>
      <c r="B29" s="20">
        <f t="shared" ref="B29:K29" si="15">+B30+B31+B32</f>
        <v>22022</v>
      </c>
      <c r="C29" s="20">
        <f t="shared" si="15"/>
        <v>13954</v>
      </c>
      <c r="D29" s="20">
        <f t="shared" si="15"/>
        <v>0</v>
      </c>
      <c r="E29" s="20">
        <f t="shared" si="15"/>
        <v>0</v>
      </c>
      <c r="F29" s="20">
        <f t="shared" si="15"/>
        <v>35976</v>
      </c>
      <c r="G29" s="20">
        <f t="shared" si="15"/>
        <v>22017</v>
      </c>
      <c r="H29" s="20">
        <f t="shared" si="15"/>
        <v>13946</v>
      </c>
      <c r="I29" s="20">
        <f t="shared" si="15"/>
        <v>0</v>
      </c>
      <c r="J29" s="20">
        <f t="shared" si="15"/>
        <v>0</v>
      </c>
      <c r="K29" s="20">
        <f t="shared" si="15"/>
        <v>35963</v>
      </c>
      <c r="L29" s="20">
        <f>+L30+L31+L32</f>
        <v>5</v>
      </c>
      <c r="M29" s="20">
        <f>+M30+M31+M32</f>
        <v>8</v>
      </c>
      <c r="N29" s="20"/>
      <c r="O29" s="20">
        <f>+O30+O31+O32</f>
        <v>0</v>
      </c>
      <c r="P29" s="21">
        <f>+P30+P31+P32</f>
        <v>13</v>
      </c>
      <c r="Q29" s="18"/>
    </row>
    <row r="30" spans="1:17" ht="12.75" customHeight="1">
      <c r="A30" s="22" t="s">
        <v>16</v>
      </c>
      <c r="B30" s="29">
        <v>18740</v>
      </c>
      <c r="C30" s="29">
        <v>13954</v>
      </c>
      <c r="D30" s="29"/>
      <c r="E30" s="30"/>
      <c r="F30" s="24">
        <f>SUM(B30:E30)</f>
        <v>32694</v>
      </c>
      <c r="G30" s="29">
        <v>18736</v>
      </c>
      <c r="H30" s="29">
        <v>13946</v>
      </c>
      <c r="I30" s="29"/>
      <c r="J30" s="29">
        <v>0</v>
      </c>
      <c r="K30" s="24">
        <f>SUM(G30:J30)</f>
        <v>32682</v>
      </c>
      <c r="L30" s="25">
        <f t="shared" ref="L30:M32" si="16">+B30-G30</f>
        <v>4</v>
      </c>
      <c r="M30" s="25">
        <f t="shared" si="16"/>
        <v>8</v>
      </c>
      <c r="N30" s="25"/>
      <c r="O30" s="25">
        <f>+E30-J30</f>
        <v>0</v>
      </c>
      <c r="P30" s="26">
        <f>SUM(L30:O30)</f>
        <v>12</v>
      </c>
      <c r="Q30" s="18"/>
    </row>
    <row r="31" spans="1:17" ht="12.75" customHeight="1">
      <c r="A31" s="22" t="s">
        <v>17</v>
      </c>
      <c r="B31" s="29">
        <v>1493</v>
      </c>
      <c r="C31" s="34"/>
      <c r="D31" s="34"/>
      <c r="E31" s="30"/>
      <c r="F31" s="24">
        <f>SUM(B31:E31)</f>
        <v>1493</v>
      </c>
      <c r="G31" s="29">
        <v>1493</v>
      </c>
      <c r="H31" s="34"/>
      <c r="I31" s="34"/>
      <c r="J31" s="34"/>
      <c r="K31" s="24">
        <f>SUM(G31:J31)</f>
        <v>1493</v>
      </c>
      <c r="L31" s="25">
        <f t="shared" si="16"/>
        <v>0</v>
      </c>
      <c r="M31" s="25">
        <f t="shared" si="16"/>
        <v>0</v>
      </c>
      <c r="N31" s="25"/>
      <c r="O31" s="25">
        <f>+E31-J31</f>
        <v>0</v>
      </c>
      <c r="P31" s="26">
        <f>SUM(L31:O31)</f>
        <v>0</v>
      </c>
      <c r="Q31" s="18"/>
    </row>
    <row r="32" spans="1:17" ht="12.75" customHeight="1">
      <c r="A32" s="22" t="s">
        <v>18</v>
      </c>
      <c r="B32" s="29">
        <v>1789</v>
      </c>
      <c r="C32" s="34"/>
      <c r="D32" s="34"/>
      <c r="E32" s="35"/>
      <c r="F32" s="24">
        <f>SUM(B32:E32)</f>
        <v>1789</v>
      </c>
      <c r="G32" s="29">
        <v>1788</v>
      </c>
      <c r="H32" s="34"/>
      <c r="I32" s="34"/>
      <c r="J32" s="34"/>
      <c r="K32" s="24">
        <f>SUM(G32:J32)</f>
        <v>1788</v>
      </c>
      <c r="L32" s="25">
        <f t="shared" si="16"/>
        <v>1</v>
      </c>
      <c r="M32" s="25">
        <f t="shared" si="16"/>
        <v>0</v>
      </c>
      <c r="N32" s="25"/>
      <c r="O32" s="25">
        <f>+E32-J32</f>
        <v>0</v>
      </c>
      <c r="P32" s="26">
        <f>SUM(L32:O32)</f>
        <v>1</v>
      </c>
      <c r="Q32" s="18"/>
    </row>
    <row r="33" spans="1:17" ht="12.75" customHeight="1">
      <c r="A33" s="22" t="s">
        <v>19</v>
      </c>
      <c r="B33" s="27">
        <f t="shared" ref="B33:K33" si="17">+B34+B35</f>
        <v>0</v>
      </c>
      <c r="C33" s="27">
        <f t="shared" si="17"/>
        <v>211</v>
      </c>
      <c r="D33" s="27">
        <f t="shared" si="17"/>
        <v>0</v>
      </c>
      <c r="E33" s="27">
        <f t="shared" si="17"/>
        <v>0</v>
      </c>
      <c r="F33" s="27">
        <f t="shared" si="17"/>
        <v>211</v>
      </c>
      <c r="G33" s="27">
        <f t="shared" si="17"/>
        <v>0</v>
      </c>
      <c r="H33" s="27">
        <f t="shared" si="17"/>
        <v>0</v>
      </c>
      <c r="I33" s="27">
        <f t="shared" si="17"/>
        <v>0</v>
      </c>
      <c r="J33" s="27">
        <f t="shared" si="17"/>
        <v>0</v>
      </c>
      <c r="K33" s="27">
        <f t="shared" si="17"/>
        <v>0</v>
      </c>
      <c r="L33" s="27">
        <f>+L34+L35</f>
        <v>0</v>
      </c>
      <c r="M33" s="27">
        <f>+M34+M35</f>
        <v>211</v>
      </c>
      <c r="N33" s="27"/>
      <c r="O33" s="27">
        <f>+O34+O35</f>
        <v>0</v>
      </c>
      <c r="P33" s="28">
        <f>+P34+P35</f>
        <v>211</v>
      </c>
      <c r="Q33" s="18"/>
    </row>
    <row r="34" spans="1:17" ht="12.75" customHeight="1">
      <c r="A34" s="22" t="s">
        <v>20</v>
      </c>
      <c r="B34" s="29"/>
      <c r="C34" s="29">
        <v>211</v>
      </c>
      <c r="D34" s="29"/>
      <c r="E34" s="30"/>
      <c r="F34" s="24">
        <f>SUM(B34:E34)</f>
        <v>211</v>
      </c>
      <c r="G34" s="29"/>
      <c r="H34" s="29"/>
      <c r="I34" s="29"/>
      <c r="J34" s="29"/>
      <c r="K34" s="24">
        <f>SUM(G34:J34)</f>
        <v>0</v>
      </c>
      <c r="L34" s="25">
        <f>+B34-G34</f>
        <v>0</v>
      </c>
      <c r="M34" s="25">
        <f>+C34-H34</f>
        <v>211</v>
      </c>
      <c r="N34" s="25"/>
      <c r="O34" s="25">
        <f>+E34-J34</f>
        <v>0</v>
      </c>
      <c r="P34" s="26">
        <f>SUM(L34:O34)</f>
        <v>211</v>
      </c>
      <c r="Q34" s="18"/>
    </row>
    <row r="35" spans="1:17" ht="12.75" customHeight="1">
      <c r="A35" s="22" t="s">
        <v>21</v>
      </c>
      <c r="B35" s="29"/>
      <c r="C35" s="29"/>
      <c r="D35" s="29"/>
      <c r="E35" s="30"/>
      <c r="F35" s="24">
        <f>SUM(B35:E35)</f>
        <v>0</v>
      </c>
      <c r="G35" s="29"/>
      <c r="H35" s="29"/>
      <c r="I35" s="29"/>
      <c r="J35" s="29"/>
      <c r="K35" s="24">
        <f>SUM(G35:J35)</f>
        <v>0</v>
      </c>
      <c r="L35" s="25">
        <f>+B35-G35</f>
        <v>0</v>
      </c>
      <c r="M35" s="25">
        <f>+C35-H35</f>
        <v>0</v>
      </c>
      <c r="N35" s="25"/>
      <c r="O35" s="25">
        <f>+E35-J35</f>
        <v>0</v>
      </c>
      <c r="P35" s="26">
        <f>SUM(L35:O35)</f>
        <v>0</v>
      </c>
      <c r="Q35" s="18"/>
    </row>
    <row r="36" spans="1:17" ht="12.75" customHeight="1">
      <c r="A36" s="57"/>
      <c r="B36" s="25"/>
      <c r="C36" s="25"/>
      <c r="D36" s="25"/>
      <c r="E36" s="43"/>
      <c r="F36" s="24"/>
      <c r="G36" s="47"/>
      <c r="H36" s="47"/>
      <c r="I36" s="47"/>
      <c r="J36" s="47"/>
      <c r="K36" s="32"/>
      <c r="L36" s="25"/>
      <c r="M36" s="25"/>
      <c r="N36" s="25"/>
      <c r="O36" s="25"/>
      <c r="P36" s="26"/>
      <c r="Q36" s="18"/>
    </row>
    <row r="37" spans="1:17" ht="12.75" customHeight="1">
      <c r="A37" s="218" t="s">
        <v>139</v>
      </c>
      <c r="B37" s="17">
        <f t="shared" ref="B37:K37" si="18">+B38+B42</f>
        <v>58009</v>
      </c>
      <c r="C37" s="17">
        <f t="shared" si="18"/>
        <v>103777</v>
      </c>
      <c r="D37" s="17">
        <f t="shared" si="18"/>
        <v>0</v>
      </c>
      <c r="E37" s="17">
        <f t="shared" si="18"/>
        <v>94743</v>
      </c>
      <c r="F37" s="17">
        <f t="shared" si="18"/>
        <v>256529</v>
      </c>
      <c r="G37" s="17">
        <f t="shared" si="18"/>
        <v>57816</v>
      </c>
      <c r="H37" s="17">
        <f t="shared" si="18"/>
        <v>103146</v>
      </c>
      <c r="I37" s="17"/>
      <c r="J37" s="17">
        <f t="shared" si="18"/>
        <v>77059</v>
      </c>
      <c r="K37" s="17">
        <f t="shared" si="18"/>
        <v>238021</v>
      </c>
      <c r="L37" s="17">
        <f>+L38+L42</f>
        <v>193</v>
      </c>
      <c r="M37" s="17">
        <f>+M38+M42</f>
        <v>631</v>
      </c>
      <c r="N37" s="17"/>
      <c r="O37" s="17">
        <f>+O38+O42</f>
        <v>17684</v>
      </c>
      <c r="P37" s="17">
        <f>+P38+P42</f>
        <v>18508</v>
      </c>
      <c r="Q37" s="18">
        <f>+K37/F37</f>
        <v>0.92785221164078913</v>
      </c>
    </row>
    <row r="38" spans="1:17" ht="12.75" customHeight="1">
      <c r="A38" s="58" t="s">
        <v>15</v>
      </c>
      <c r="B38" s="20">
        <f t="shared" ref="B38:J38" si="19">+B39+B40+B41</f>
        <v>58009</v>
      </c>
      <c r="C38" s="20">
        <f t="shared" si="19"/>
        <v>103684</v>
      </c>
      <c r="D38" s="20">
        <f t="shared" si="19"/>
        <v>0</v>
      </c>
      <c r="E38" s="20">
        <f t="shared" si="19"/>
        <v>94742</v>
      </c>
      <c r="F38" s="20">
        <f t="shared" si="19"/>
        <v>256435</v>
      </c>
      <c r="G38" s="20">
        <f t="shared" si="19"/>
        <v>57816</v>
      </c>
      <c r="H38" s="20">
        <f t="shared" si="19"/>
        <v>103146</v>
      </c>
      <c r="I38" s="20"/>
      <c r="J38" s="20">
        <f t="shared" si="19"/>
        <v>77059</v>
      </c>
      <c r="K38" s="20">
        <f>+K39+K40+K41</f>
        <v>238021</v>
      </c>
      <c r="L38" s="20">
        <f>+L39+L40+L41</f>
        <v>193</v>
      </c>
      <c r="M38" s="20">
        <f>+M39+M40+M41</f>
        <v>538</v>
      </c>
      <c r="N38" s="20"/>
      <c r="O38" s="20">
        <f>+O39+O40+O41</f>
        <v>17683</v>
      </c>
      <c r="P38" s="21">
        <f>+P39+P40+P41</f>
        <v>18414</v>
      </c>
      <c r="Q38" s="18"/>
    </row>
    <row r="39" spans="1:17" ht="12.75" customHeight="1">
      <c r="A39" s="22" t="s">
        <v>16</v>
      </c>
      <c r="B39" s="29">
        <v>49791</v>
      </c>
      <c r="C39" s="29">
        <v>103684</v>
      </c>
      <c r="D39" s="29"/>
      <c r="E39" s="30">
        <v>94742</v>
      </c>
      <c r="F39" s="24">
        <f>SUM(B39:E39)</f>
        <v>248217</v>
      </c>
      <c r="G39" s="29">
        <f>49877-86</f>
        <v>49791</v>
      </c>
      <c r="H39" s="29">
        <v>103146</v>
      </c>
      <c r="I39" s="29"/>
      <c r="J39" s="29">
        <v>77059</v>
      </c>
      <c r="K39" s="24">
        <f>SUM(G39:J39)</f>
        <v>229996</v>
      </c>
      <c r="L39" s="25">
        <f t="shared" ref="L39:M41" si="20">+B39-G39</f>
        <v>0</v>
      </c>
      <c r="M39" s="25">
        <f t="shared" si="20"/>
        <v>538</v>
      </c>
      <c r="N39" s="25"/>
      <c r="O39" s="25">
        <f>+E39-J39</f>
        <v>17683</v>
      </c>
      <c r="P39" s="26">
        <f>SUM(L39:O39)</f>
        <v>18221</v>
      </c>
      <c r="Q39" s="18"/>
    </row>
    <row r="40" spans="1:17" ht="12.75" customHeight="1">
      <c r="A40" s="22" t="s">
        <v>17</v>
      </c>
      <c r="B40" s="29">
        <v>3716</v>
      </c>
      <c r="C40" s="34"/>
      <c r="D40" s="34"/>
      <c r="E40" s="30"/>
      <c r="F40" s="24">
        <f>SUM(B40:E40)</f>
        <v>3716</v>
      </c>
      <c r="G40" s="29">
        <v>3696</v>
      </c>
      <c r="H40" s="34"/>
      <c r="I40" s="34"/>
      <c r="J40" s="34"/>
      <c r="K40" s="24">
        <f>SUM(G40:J40)</f>
        <v>3696</v>
      </c>
      <c r="L40" s="25">
        <f t="shared" si="20"/>
        <v>20</v>
      </c>
      <c r="M40" s="25">
        <f t="shared" si="20"/>
        <v>0</v>
      </c>
      <c r="N40" s="25"/>
      <c r="O40" s="25">
        <f>+E40-J40</f>
        <v>0</v>
      </c>
      <c r="P40" s="26">
        <f>SUM(L40:O40)</f>
        <v>20</v>
      </c>
      <c r="Q40" s="18"/>
    </row>
    <row r="41" spans="1:17" ht="12.75" customHeight="1">
      <c r="A41" s="22" t="s">
        <v>18</v>
      </c>
      <c r="B41" s="29">
        <v>4502</v>
      </c>
      <c r="C41" s="34"/>
      <c r="D41" s="34"/>
      <c r="E41" s="35"/>
      <c r="F41" s="24">
        <f>SUM(B41:E41)</f>
        <v>4502</v>
      </c>
      <c r="G41" s="29">
        <f>4243+86</f>
        <v>4329</v>
      </c>
      <c r="H41" s="34"/>
      <c r="I41" s="34"/>
      <c r="J41" s="34"/>
      <c r="K41" s="24">
        <f>SUM(G41:J41)</f>
        <v>4329</v>
      </c>
      <c r="L41" s="25">
        <f t="shared" si="20"/>
        <v>173</v>
      </c>
      <c r="M41" s="25">
        <f t="shared" si="20"/>
        <v>0</v>
      </c>
      <c r="N41" s="25"/>
      <c r="O41" s="25">
        <f>+E41-J41</f>
        <v>0</v>
      </c>
      <c r="P41" s="26">
        <f>SUM(L41:O41)</f>
        <v>173</v>
      </c>
      <c r="Q41" s="18"/>
    </row>
    <row r="42" spans="1:17" ht="12.75" customHeight="1">
      <c r="A42" s="22" t="s">
        <v>19</v>
      </c>
      <c r="B42" s="27">
        <f t="shared" ref="B42:K42" si="21">+B43+B44</f>
        <v>0</v>
      </c>
      <c r="C42" s="27">
        <f t="shared" si="21"/>
        <v>93</v>
      </c>
      <c r="D42" s="27">
        <f t="shared" si="21"/>
        <v>0</v>
      </c>
      <c r="E42" s="27">
        <f t="shared" si="21"/>
        <v>1</v>
      </c>
      <c r="F42" s="27">
        <f t="shared" si="21"/>
        <v>94</v>
      </c>
      <c r="G42" s="40">
        <f t="shared" si="21"/>
        <v>0</v>
      </c>
      <c r="H42" s="40">
        <f t="shared" si="21"/>
        <v>0</v>
      </c>
      <c r="I42" s="40"/>
      <c r="J42" s="40">
        <f t="shared" si="21"/>
        <v>0</v>
      </c>
      <c r="K42" s="40">
        <f t="shared" si="21"/>
        <v>0</v>
      </c>
      <c r="L42" s="27">
        <f>+L43+L44</f>
        <v>0</v>
      </c>
      <c r="M42" s="27">
        <f>+M43+M44</f>
        <v>93</v>
      </c>
      <c r="N42" s="27"/>
      <c r="O42" s="27">
        <f>+O43+O44</f>
        <v>1</v>
      </c>
      <c r="P42" s="28">
        <f>+P43+P44</f>
        <v>94</v>
      </c>
      <c r="Q42" s="18"/>
    </row>
    <row r="43" spans="1:17" ht="12.75" customHeight="1">
      <c r="A43" s="22" t="s">
        <v>20</v>
      </c>
      <c r="B43" s="29"/>
      <c r="C43" s="29">
        <v>93</v>
      </c>
      <c r="D43" s="29"/>
      <c r="E43" s="30">
        <v>1</v>
      </c>
      <c r="F43" s="24">
        <f>SUM(B43:E43)</f>
        <v>94</v>
      </c>
      <c r="G43" s="31"/>
      <c r="H43" s="31"/>
      <c r="I43" s="31"/>
      <c r="J43" s="31"/>
      <c r="K43" s="32">
        <f>SUM(G43:J43)</f>
        <v>0</v>
      </c>
      <c r="L43" s="25">
        <f>+B43-G43</f>
        <v>0</v>
      </c>
      <c r="M43" s="25">
        <f>+C43-H43</f>
        <v>93</v>
      </c>
      <c r="N43" s="25"/>
      <c r="O43" s="25">
        <f>+E43-J43</f>
        <v>1</v>
      </c>
      <c r="P43" s="26">
        <f>SUM(L43:O43)</f>
        <v>94</v>
      </c>
      <c r="Q43" s="18"/>
    </row>
    <row r="44" spans="1:17" ht="12.75" customHeight="1">
      <c r="A44" s="22" t="s">
        <v>21</v>
      </c>
      <c r="B44" s="29"/>
      <c r="C44" s="29"/>
      <c r="D44" s="29"/>
      <c r="E44" s="30"/>
      <c r="F44" s="24">
        <f>SUM(B44:E44)</f>
        <v>0</v>
      </c>
      <c r="G44" s="31"/>
      <c r="H44" s="31"/>
      <c r="I44" s="31"/>
      <c r="J44" s="31"/>
      <c r="K44" s="32">
        <f>SUM(G44:J44)</f>
        <v>0</v>
      </c>
      <c r="L44" s="25">
        <f>+B44-G44</f>
        <v>0</v>
      </c>
      <c r="M44" s="25">
        <f>+C44-H44</f>
        <v>0</v>
      </c>
      <c r="N44" s="25"/>
      <c r="O44" s="25">
        <f>+E44-J44</f>
        <v>0</v>
      </c>
      <c r="P44" s="26">
        <f>SUM(L44:O44)</f>
        <v>0</v>
      </c>
      <c r="Q44" s="18"/>
    </row>
    <row r="45" spans="1:17" ht="12.75" customHeight="1">
      <c r="A45" s="65"/>
      <c r="B45" s="44"/>
      <c r="C45" s="44"/>
      <c r="D45" s="44"/>
      <c r="E45" s="45"/>
      <c r="F45" s="77"/>
      <c r="G45" s="84"/>
      <c r="H45" s="84"/>
      <c r="I45" s="84"/>
      <c r="J45" s="84"/>
      <c r="K45" s="82"/>
      <c r="L45" s="44"/>
      <c r="M45" s="44"/>
      <c r="N45" s="44"/>
      <c r="O45" s="44"/>
      <c r="P45" s="75"/>
      <c r="Q45" s="76"/>
    </row>
    <row r="46" spans="1:17">
      <c r="A46" s="80"/>
    </row>
    <row r="47" spans="1:17">
      <c r="A47" s="80"/>
    </row>
    <row r="48" spans="1:17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  <row r="61" spans="1:1">
      <c r="A61" s="80"/>
    </row>
    <row r="62" spans="1:1">
      <c r="A62" s="80"/>
    </row>
    <row r="63" spans="1:1">
      <c r="A63" s="80"/>
    </row>
    <row r="64" spans="1:1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  <row r="1128" spans="1:1">
      <c r="A1128" s="80"/>
    </row>
    <row r="1129" spans="1:1">
      <c r="A1129" s="80"/>
    </row>
    <row r="1130" spans="1:1">
      <c r="A1130" s="80"/>
    </row>
    <row r="1131" spans="1:1">
      <c r="A1131" s="80"/>
    </row>
    <row r="1132" spans="1:1">
      <c r="A1132" s="80"/>
    </row>
    <row r="1133" spans="1:1">
      <c r="A1133" s="80"/>
    </row>
    <row r="1134" spans="1:1">
      <c r="A1134" s="80"/>
    </row>
    <row r="1135" spans="1:1">
      <c r="A1135" s="80"/>
    </row>
    <row r="1136" spans="1:1">
      <c r="A1136" s="80"/>
    </row>
    <row r="1137" spans="1:1">
      <c r="A1137" s="80"/>
    </row>
    <row r="1138" spans="1:1">
      <c r="A1138" s="80"/>
    </row>
    <row r="1139" spans="1:1">
      <c r="A1139" s="80"/>
    </row>
    <row r="1140" spans="1:1">
      <c r="A1140" s="80"/>
    </row>
    <row r="1141" spans="1:1">
      <c r="A1141" s="80"/>
    </row>
    <row r="1142" spans="1:1">
      <c r="A1142" s="80"/>
    </row>
    <row r="1143" spans="1:1">
      <c r="A1143" s="80"/>
    </row>
    <row r="1144" spans="1:1">
      <c r="A1144" s="80"/>
    </row>
    <row r="1145" spans="1:1">
      <c r="A1145" s="80"/>
    </row>
    <row r="1146" spans="1:1">
      <c r="A1146" s="80"/>
    </row>
    <row r="1147" spans="1:1">
      <c r="A1147" s="80"/>
    </row>
    <row r="1148" spans="1:1">
      <c r="A1148" s="80"/>
    </row>
    <row r="1149" spans="1:1">
      <c r="A1149" s="80"/>
    </row>
    <row r="1150" spans="1:1">
      <c r="A1150" s="80"/>
    </row>
    <row r="1151" spans="1:1">
      <c r="A1151" s="80"/>
    </row>
    <row r="1152" spans="1:1">
      <c r="A1152" s="80"/>
    </row>
    <row r="1153" spans="1:1">
      <c r="A1153" s="80"/>
    </row>
    <row r="1154" spans="1:1">
      <c r="A1154" s="80"/>
    </row>
    <row r="1155" spans="1:1">
      <c r="A1155" s="80"/>
    </row>
    <row r="1156" spans="1:1">
      <c r="A1156" s="80"/>
    </row>
    <row r="1157" spans="1:1">
      <c r="A1157" s="80"/>
    </row>
    <row r="1158" spans="1:1">
      <c r="A1158" s="80"/>
    </row>
    <row r="1159" spans="1:1">
      <c r="A1159" s="80"/>
    </row>
    <row r="1160" spans="1:1">
      <c r="A1160" s="80"/>
    </row>
    <row r="1161" spans="1:1">
      <c r="A1161" s="80"/>
    </row>
    <row r="1162" spans="1:1">
      <c r="A1162" s="80"/>
    </row>
    <row r="1163" spans="1:1">
      <c r="A1163" s="80"/>
    </row>
    <row r="1164" spans="1:1">
      <c r="A1164" s="80"/>
    </row>
    <row r="1165" spans="1:1">
      <c r="A1165" s="80"/>
    </row>
    <row r="1166" spans="1:1">
      <c r="A1166" s="80"/>
    </row>
    <row r="1167" spans="1:1">
      <c r="A1167" s="80"/>
    </row>
    <row r="1168" spans="1:1">
      <c r="A1168" s="80"/>
    </row>
    <row r="1169" spans="1:1">
      <c r="A1169" s="80"/>
    </row>
    <row r="1170" spans="1:1">
      <c r="A1170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1" fitToWidth="0" fitToHeight="0" orientation="landscape" r:id="rId1"/>
  <headerFooter alignWithMargins="0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199"/>
  <sheetViews>
    <sheetView showRuler="0" zoomScaleSheetLayoutView="100" workbookViewId="0">
      <pane xSplit="1" ySplit="8" topLeftCell="B48" activePane="bottomRight" state="frozen"/>
      <selection activeCell="A155" sqref="A155:Q155"/>
      <selection pane="topRight" activeCell="A155" sqref="A155:Q155"/>
      <selection pane="bottomLeft" activeCell="A155" sqref="A155:Q155"/>
      <selection pane="bottomRight" activeCell="A155" sqref="A155:Q155"/>
    </sheetView>
  </sheetViews>
  <sheetFormatPr defaultRowHeight="12.75"/>
  <cols>
    <col min="1" max="1" width="32.57031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59" t="s">
        <v>140</v>
      </c>
      <c r="B10" s="17">
        <f t="shared" ref="B10:P10" si="0">+B11+B15+B16</f>
        <v>1673406</v>
      </c>
      <c r="C10" s="17">
        <f t="shared" si="0"/>
        <v>2803881</v>
      </c>
      <c r="D10" s="17">
        <f t="shared" si="0"/>
        <v>15</v>
      </c>
      <c r="E10" s="17">
        <f t="shared" si="0"/>
        <v>362268</v>
      </c>
      <c r="F10" s="17">
        <f t="shared" si="0"/>
        <v>4839570</v>
      </c>
      <c r="G10" s="17">
        <f t="shared" si="0"/>
        <v>1529223</v>
      </c>
      <c r="H10" s="17">
        <f t="shared" si="0"/>
        <v>2143615</v>
      </c>
      <c r="I10" s="17">
        <f t="shared" si="0"/>
        <v>7</v>
      </c>
      <c r="J10" s="17">
        <f t="shared" si="0"/>
        <v>249861</v>
      </c>
      <c r="K10" s="17">
        <f t="shared" si="0"/>
        <v>3922706</v>
      </c>
      <c r="L10" s="17">
        <f t="shared" si="0"/>
        <v>144183</v>
      </c>
      <c r="M10" s="17">
        <f t="shared" si="0"/>
        <v>660266</v>
      </c>
      <c r="N10" s="17">
        <f t="shared" si="0"/>
        <v>8</v>
      </c>
      <c r="O10" s="17">
        <f t="shared" si="0"/>
        <v>112407</v>
      </c>
      <c r="P10" s="17">
        <f t="shared" si="0"/>
        <v>916864</v>
      </c>
      <c r="Q10" s="18">
        <f>+K10/F10</f>
        <v>0.81054845781753337</v>
      </c>
    </row>
    <row r="11" spans="1:18" ht="12.75" customHeight="1">
      <c r="A11" s="58" t="s">
        <v>15</v>
      </c>
      <c r="B11" s="20">
        <f t="shared" ref="B11:P11" si="1">+B12+B13+B14</f>
        <v>1673406</v>
      </c>
      <c r="C11" s="20">
        <f t="shared" si="1"/>
        <v>2483804</v>
      </c>
      <c r="D11" s="20">
        <f t="shared" si="1"/>
        <v>15</v>
      </c>
      <c r="E11" s="20">
        <f t="shared" si="1"/>
        <v>29460</v>
      </c>
      <c r="F11" s="20">
        <f t="shared" si="1"/>
        <v>4186685</v>
      </c>
      <c r="G11" s="20">
        <f t="shared" si="1"/>
        <v>1529223</v>
      </c>
      <c r="H11" s="20">
        <f t="shared" si="1"/>
        <v>1999681</v>
      </c>
      <c r="I11" s="20">
        <f t="shared" si="1"/>
        <v>7</v>
      </c>
      <c r="J11" s="20">
        <f t="shared" si="1"/>
        <v>26215</v>
      </c>
      <c r="K11" s="20">
        <f t="shared" si="1"/>
        <v>3555126</v>
      </c>
      <c r="L11" s="20">
        <f t="shared" si="1"/>
        <v>144183</v>
      </c>
      <c r="M11" s="20">
        <f t="shared" si="1"/>
        <v>484123</v>
      </c>
      <c r="N11" s="20">
        <f t="shared" si="1"/>
        <v>8</v>
      </c>
      <c r="O11" s="20">
        <f t="shared" si="1"/>
        <v>3245</v>
      </c>
      <c r="P11" s="21">
        <f t="shared" si="1"/>
        <v>631559</v>
      </c>
      <c r="Q11" s="18"/>
    </row>
    <row r="12" spans="1:18" ht="12.75" customHeight="1">
      <c r="A12" s="22" t="s">
        <v>16</v>
      </c>
      <c r="B12" s="23">
        <f t="shared" ref="B12:E14" si="2">+B22+B32+B41+B50+B59+B68</f>
        <v>1296892</v>
      </c>
      <c r="C12" s="23">
        <f t="shared" si="2"/>
        <v>2309973</v>
      </c>
      <c r="D12" s="23">
        <f t="shared" si="2"/>
        <v>15</v>
      </c>
      <c r="E12" s="23">
        <f t="shared" si="2"/>
        <v>29460</v>
      </c>
      <c r="F12" s="24">
        <f>SUM(B12:E12)</f>
        <v>3636340</v>
      </c>
      <c r="G12" s="23">
        <f t="shared" ref="G12:J14" si="3">+G22+G32+G41+G50+G59+G68</f>
        <v>1166905</v>
      </c>
      <c r="H12" s="23">
        <f t="shared" si="3"/>
        <v>1997501</v>
      </c>
      <c r="I12" s="23">
        <f t="shared" si="3"/>
        <v>7</v>
      </c>
      <c r="J12" s="23">
        <f t="shared" si="3"/>
        <v>26215</v>
      </c>
      <c r="K12" s="24">
        <f>SUM(G12:J12)</f>
        <v>3190628</v>
      </c>
      <c r="L12" s="25">
        <f t="shared" ref="L12:O14" si="4">+B12-G12</f>
        <v>129987</v>
      </c>
      <c r="M12" s="25">
        <f t="shared" si="4"/>
        <v>312472</v>
      </c>
      <c r="N12" s="25">
        <f t="shared" si="4"/>
        <v>8</v>
      </c>
      <c r="O12" s="25">
        <f t="shared" si="4"/>
        <v>3245</v>
      </c>
      <c r="P12" s="26">
        <f>SUM(L12:O12)</f>
        <v>445712</v>
      </c>
      <c r="Q12" s="18"/>
    </row>
    <row r="13" spans="1:18" ht="12.75" customHeight="1">
      <c r="A13" s="22" t="s">
        <v>17</v>
      </c>
      <c r="B13" s="23">
        <f t="shared" si="2"/>
        <v>276775</v>
      </c>
      <c r="C13" s="23">
        <f t="shared" si="2"/>
        <v>155134</v>
      </c>
      <c r="D13" s="23">
        <f t="shared" si="2"/>
        <v>0</v>
      </c>
      <c r="E13" s="23">
        <f t="shared" si="2"/>
        <v>0</v>
      </c>
      <c r="F13" s="24">
        <f>SUM(B13:E13)</f>
        <v>431909</v>
      </c>
      <c r="G13" s="23">
        <f t="shared" si="3"/>
        <v>275299</v>
      </c>
      <c r="H13" s="23">
        <f t="shared" si="3"/>
        <v>2180</v>
      </c>
      <c r="I13" s="23">
        <f t="shared" si="3"/>
        <v>0</v>
      </c>
      <c r="J13" s="23">
        <f t="shared" si="3"/>
        <v>0</v>
      </c>
      <c r="K13" s="24">
        <f>SUM(G13:J13)</f>
        <v>277479</v>
      </c>
      <c r="L13" s="25">
        <f t="shared" si="4"/>
        <v>1476</v>
      </c>
      <c r="M13" s="25">
        <f t="shared" si="4"/>
        <v>152954</v>
      </c>
      <c r="N13" s="25">
        <f t="shared" si="4"/>
        <v>0</v>
      </c>
      <c r="O13" s="25">
        <f t="shared" si="4"/>
        <v>0</v>
      </c>
      <c r="P13" s="26">
        <f>SUM(L13:O13)</f>
        <v>154430</v>
      </c>
      <c r="Q13" s="18"/>
    </row>
    <row r="14" spans="1:18" ht="12.75" customHeight="1">
      <c r="A14" s="22" t="s">
        <v>18</v>
      </c>
      <c r="B14" s="23">
        <f t="shared" si="2"/>
        <v>99739</v>
      </c>
      <c r="C14" s="23">
        <f t="shared" si="2"/>
        <v>18697</v>
      </c>
      <c r="D14" s="23">
        <f t="shared" si="2"/>
        <v>0</v>
      </c>
      <c r="E14" s="23">
        <f t="shared" si="2"/>
        <v>0</v>
      </c>
      <c r="F14" s="24">
        <f>SUM(B14:E14)</f>
        <v>118436</v>
      </c>
      <c r="G14" s="23">
        <f t="shared" si="3"/>
        <v>87019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4">
        <f>SUM(G14:J14)</f>
        <v>87019</v>
      </c>
      <c r="L14" s="25">
        <f t="shared" si="4"/>
        <v>12720</v>
      </c>
      <c r="M14" s="25">
        <f t="shared" si="4"/>
        <v>18697</v>
      </c>
      <c r="N14" s="25">
        <f t="shared" si="4"/>
        <v>0</v>
      </c>
      <c r="O14" s="25">
        <f t="shared" si="4"/>
        <v>0</v>
      </c>
      <c r="P14" s="26">
        <f>SUM(L14:O14)</f>
        <v>31417</v>
      </c>
      <c r="Q14" s="18"/>
    </row>
    <row r="15" spans="1:18" ht="12.75" customHeight="1">
      <c r="A15" s="22" t="s">
        <v>30</v>
      </c>
      <c r="B15" s="23">
        <f t="shared" ref="B15:P15" si="5">+B25</f>
        <v>0</v>
      </c>
      <c r="C15" s="23">
        <f t="shared" si="5"/>
        <v>8800</v>
      </c>
      <c r="D15" s="23">
        <f t="shared" si="5"/>
        <v>0</v>
      </c>
      <c r="E15" s="23">
        <f t="shared" si="5"/>
        <v>2000</v>
      </c>
      <c r="F15" s="23">
        <f t="shared" si="5"/>
        <v>10800</v>
      </c>
      <c r="G15" s="23">
        <f t="shared" si="5"/>
        <v>0</v>
      </c>
      <c r="H15" s="23">
        <f t="shared" si="5"/>
        <v>7251</v>
      </c>
      <c r="I15" s="23">
        <f t="shared" si="5"/>
        <v>0</v>
      </c>
      <c r="J15" s="23">
        <f t="shared" si="5"/>
        <v>1243</v>
      </c>
      <c r="K15" s="23">
        <f t="shared" si="5"/>
        <v>8494</v>
      </c>
      <c r="L15" s="23">
        <f t="shared" si="5"/>
        <v>0</v>
      </c>
      <c r="M15" s="23">
        <f t="shared" si="5"/>
        <v>1549</v>
      </c>
      <c r="N15" s="23">
        <f t="shared" si="5"/>
        <v>0</v>
      </c>
      <c r="O15" s="23">
        <f t="shared" si="5"/>
        <v>757</v>
      </c>
      <c r="P15" s="23">
        <f t="shared" si="5"/>
        <v>2306</v>
      </c>
      <c r="Q15" s="18"/>
    </row>
    <row r="16" spans="1:18" ht="12.75" customHeight="1">
      <c r="A16" s="22" t="s">
        <v>19</v>
      </c>
      <c r="B16" s="44">
        <f t="shared" ref="B16:P16" si="6">+B17+B18</f>
        <v>0</v>
      </c>
      <c r="C16" s="44">
        <f t="shared" si="6"/>
        <v>311277</v>
      </c>
      <c r="D16" s="44">
        <f t="shared" si="6"/>
        <v>0</v>
      </c>
      <c r="E16" s="45">
        <f t="shared" si="6"/>
        <v>330808</v>
      </c>
      <c r="F16" s="44">
        <f t="shared" si="6"/>
        <v>642085</v>
      </c>
      <c r="G16" s="44">
        <f t="shared" si="6"/>
        <v>0</v>
      </c>
      <c r="H16" s="44">
        <f t="shared" si="6"/>
        <v>136683</v>
      </c>
      <c r="I16" s="44">
        <f t="shared" si="6"/>
        <v>0</v>
      </c>
      <c r="J16" s="45">
        <f t="shared" si="6"/>
        <v>222403</v>
      </c>
      <c r="K16" s="44">
        <f t="shared" si="6"/>
        <v>359086</v>
      </c>
      <c r="L16" s="44">
        <f t="shared" si="6"/>
        <v>0</v>
      </c>
      <c r="M16" s="44">
        <f t="shared" si="6"/>
        <v>174594</v>
      </c>
      <c r="N16" s="44">
        <f t="shared" si="6"/>
        <v>0</v>
      </c>
      <c r="O16" s="44">
        <f t="shared" si="6"/>
        <v>108405</v>
      </c>
      <c r="P16" s="45">
        <f t="shared" si="6"/>
        <v>282999</v>
      </c>
      <c r="Q16" s="18"/>
    </row>
    <row r="17" spans="1:17" ht="12.75" customHeight="1">
      <c r="A17" s="23" t="s">
        <v>20</v>
      </c>
      <c r="B17" s="23">
        <f t="shared" ref="B17:E18" si="7">+B27+B36+B45+B54+B63+B72</f>
        <v>0</v>
      </c>
      <c r="C17" s="23">
        <f t="shared" si="7"/>
        <v>311277</v>
      </c>
      <c r="D17" s="23">
        <f t="shared" si="7"/>
        <v>0</v>
      </c>
      <c r="E17" s="23">
        <f t="shared" si="7"/>
        <v>330808</v>
      </c>
      <c r="F17" s="24">
        <f>SUM(B17:E17)</f>
        <v>642085</v>
      </c>
      <c r="G17" s="23">
        <f t="shared" ref="G17:J18" si="8">+G27+G36+G45+G54+G63+G72</f>
        <v>0</v>
      </c>
      <c r="H17" s="23">
        <f t="shared" si="8"/>
        <v>136683</v>
      </c>
      <c r="I17" s="23">
        <f t="shared" si="8"/>
        <v>0</v>
      </c>
      <c r="J17" s="23">
        <f t="shared" si="8"/>
        <v>222403</v>
      </c>
      <c r="K17" s="24">
        <f>SUM(G17:J17)</f>
        <v>359086</v>
      </c>
      <c r="L17" s="25">
        <f t="shared" ref="L17:O18" si="9">+B17-G17</f>
        <v>0</v>
      </c>
      <c r="M17" s="25">
        <f t="shared" si="9"/>
        <v>174594</v>
      </c>
      <c r="N17" s="25">
        <f t="shared" si="9"/>
        <v>0</v>
      </c>
      <c r="O17" s="25">
        <f t="shared" si="9"/>
        <v>108405</v>
      </c>
      <c r="P17" s="26">
        <f>SUM(L17:O17)</f>
        <v>282999</v>
      </c>
      <c r="Q17" s="18"/>
    </row>
    <row r="18" spans="1:17" ht="12.75" customHeight="1">
      <c r="A18" s="23" t="s">
        <v>21</v>
      </c>
      <c r="B18" s="23">
        <f t="shared" si="7"/>
        <v>0</v>
      </c>
      <c r="C18" s="23">
        <f t="shared" si="7"/>
        <v>0</v>
      </c>
      <c r="D18" s="23">
        <f t="shared" si="7"/>
        <v>0</v>
      </c>
      <c r="E18" s="23">
        <f t="shared" si="7"/>
        <v>0</v>
      </c>
      <c r="F18" s="24">
        <f>SUM(B18:E18)</f>
        <v>0</v>
      </c>
      <c r="G18" s="23">
        <f t="shared" si="8"/>
        <v>0</v>
      </c>
      <c r="H18" s="23">
        <f t="shared" si="8"/>
        <v>0</v>
      </c>
      <c r="I18" s="23">
        <f t="shared" si="8"/>
        <v>0</v>
      </c>
      <c r="J18" s="23">
        <f t="shared" si="8"/>
        <v>0</v>
      </c>
      <c r="K18" s="24">
        <f>SUM(G18:J18)</f>
        <v>0</v>
      </c>
      <c r="L18" s="25">
        <f t="shared" si="9"/>
        <v>0</v>
      </c>
      <c r="M18" s="25">
        <f t="shared" si="9"/>
        <v>0</v>
      </c>
      <c r="N18" s="25">
        <f t="shared" si="9"/>
        <v>0</v>
      </c>
      <c r="O18" s="25">
        <f t="shared" si="9"/>
        <v>0</v>
      </c>
      <c r="P18" s="26">
        <f>SUM(L18:O18)</f>
        <v>0</v>
      </c>
      <c r="Q18" s="18"/>
    </row>
    <row r="19" spans="1:17" ht="12.75" customHeight="1">
      <c r="A19" s="22"/>
      <c r="B19" s="25"/>
      <c r="C19" s="25"/>
      <c r="D19" s="25"/>
      <c r="E19" s="43"/>
      <c r="F19" s="24"/>
      <c r="G19" s="25"/>
      <c r="H19" s="25"/>
      <c r="I19" s="25"/>
      <c r="J19" s="25"/>
      <c r="K19" s="24"/>
      <c r="L19" s="25"/>
      <c r="M19" s="25"/>
      <c r="N19" s="25"/>
      <c r="O19" s="25"/>
      <c r="P19" s="26"/>
      <c r="Q19" s="18"/>
    </row>
    <row r="20" spans="1:17" ht="12.75" customHeight="1">
      <c r="A20" s="33" t="s">
        <v>31</v>
      </c>
      <c r="B20" s="17">
        <f t="shared" ref="B20:K20" si="10">+B21+B25+B26</f>
        <v>1390502</v>
      </c>
      <c r="C20" s="17">
        <f t="shared" si="10"/>
        <v>2534341</v>
      </c>
      <c r="D20" s="17">
        <f t="shared" si="10"/>
        <v>0</v>
      </c>
      <c r="E20" s="17">
        <f t="shared" si="10"/>
        <v>347940</v>
      </c>
      <c r="F20" s="17">
        <f t="shared" si="10"/>
        <v>4272783</v>
      </c>
      <c r="G20" s="17">
        <f t="shared" si="10"/>
        <v>1276689</v>
      </c>
      <c r="H20" s="17">
        <f t="shared" si="10"/>
        <v>1906735</v>
      </c>
      <c r="I20" s="17">
        <f t="shared" si="10"/>
        <v>0</v>
      </c>
      <c r="J20" s="17">
        <f t="shared" si="10"/>
        <v>240232</v>
      </c>
      <c r="K20" s="17">
        <f t="shared" si="10"/>
        <v>3423656</v>
      </c>
      <c r="L20" s="17">
        <f t="shared" ref="L20:P20" si="11">+L21+L25+L26</f>
        <v>113813</v>
      </c>
      <c r="M20" s="17">
        <f t="shared" si="11"/>
        <v>627606</v>
      </c>
      <c r="N20" s="17"/>
      <c r="O20" s="17">
        <f t="shared" si="11"/>
        <v>107708</v>
      </c>
      <c r="P20" s="17">
        <f t="shared" si="11"/>
        <v>849127</v>
      </c>
      <c r="Q20" s="18">
        <f>+K20/F20</f>
        <v>0.80127074087310313</v>
      </c>
    </row>
    <row r="21" spans="1:17" ht="12.75" customHeight="1">
      <c r="A21" s="41" t="s">
        <v>15</v>
      </c>
      <c r="B21" s="20">
        <f t="shared" ref="B21:K21" si="12">+B22+B23+B24</f>
        <v>1390502</v>
      </c>
      <c r="C21" s="20">
        <f t="shared" si="12"/>
        <v>2218132</v>
      </c>
      <c r="D21" s="20">
        <f t="shared" si="12"/>
        <v>0</v>
      </c>
      <c r="E21" s="20">
        <f t="shared" si="12"/>
        <v>16947</v>
      </c>
      <c r="F21" s="20">
        <f t="shared" si="12"/>
        <v>3625581</v>
      </c>
      <c r="G21" s="20">
        <f t="shared" si="12"/>
        <v>1276689</v>
      </c>
      <c r="H21" s="20">
        <f t="shared" si="12"/>
        <v>1764356</v>
      </c>
      <c r="I21" s="20">
        <f t="shared" si="12"/>
        <v>0</v>
      </c>
      <c r="J21" s="20">
        <f t="shared" si="12"/>
        <v>16883</v>
      </c>
      <c r="K21" s="20">
        <f t="shared" si="12"/>
        <v>3057928</v>
      </c>
      <c r="L21" s="20">
        <f>+L22+L23+L24</f>
        <v>113813</v>
      </c>
      <c r="M21" s="20">
        <f>+M22+M23+M24</f>
        <v>453776</v>
      </c>
      <c r="N21" s="20"/>
      <c r="O21" s="20">
        <f>+O22+O23+O24</f>
        <v>64</v>
      </c>
      <c r="P21" s="21">
        <f>+P22+P23+P24</f>
        <v>567653</v>
      </c>
      <c r="Q21" s="18"/>
    </row>
    <row r="22" spans="1:17" ht="12.75" customHeight="1">
      <c r="A22" s="22" t="s">
        <v>16</v>
      </c>
      <c r="B22" s="29">
        <v>1096802</v>
      </c>
      <c r="C22" s="29">
        <v>2044301</v>
      </c>
      <c r="D22" s="29"/>
      <c r="E22" s="30">
        <v>16947</v>
      </c>
      <c r="F22" s="24">
        <f>SUM(B22:E22)</f>
        <v>3158050</v>
      </c>
      <c r="G22" s="29">
        <v>992466</v>
      </c>
      <c r="H22" s="29">
        <v>1762176</v>
      </c>
      <c r="I22" s="29"/>
      <c r="J22" s="29">
        <v>16883</v>
      </c>
      <c r="K22" s="24">
        <f>SUM(G22:J22)</f>
        <v>2771525</v>
      </c>
      <c r="L22" s="25">
        <f t="shared" ref="L22:M25" si="13">+B22-G22</f>
        <v>104336</v>
      </c>
      <c r="M22" s="25">
        <f t="shared" si="13"/>
        <v>282125</v>
      </c>
      <c r="N22" s="25"/>
      <c r="O22" s="25">
        <f>+E22-J22</f>
        <v>64</v>
      </c>
      <c r="P22" s="26">
        <f>SUM(L22:O22)</f>
        <v>386525</v>
      </c>
      <c r="Q22" s="18"/>
    </row>
    <row r="23" spans="1:17" ht="12.75" customHeight="1">
      <c r="A23" s="22" t="s">
        <v>17</v>
      </c>
      <c r="B23" s="29">
        <v>212170</v>
      </c>
      <c r="C23" s="29">
        <v>155134</v>
      </c>
      <c r="D23" s="29"/>
      <c r="E23" s="30"/>
      <c r="F23" s="24">
        <f>SUM(B23:E23)</f>
        <v>367304</v>
      </c>
      <c r="G23" s="29">
        <v>211151</v>
      </c>
      <c r="H23" s="29">
        <f>2180</f>
        <v>2180</v>
      </c>
      <c r="I23" s="29"/>
      <c r="J23" s="34"/>
      <c r="K23" s="24">
        <f>SUM(G23:J23)</f>
        <v>213331</v>
      </c>
      <c r="L23" s="25">
        <f t="shared" si="13"/>
        <v>1019</v>
      </c>
      <c r="M23" s="25">
        <f t="shared" si="13"/>
        <v>152954</v>
      </c>
      <c r="N23" s="25"/>
      <c r="O23" s="25">
        <f>+E23-J23</f>
        <v>0</v>
      </c>
      <c r="P23" s="26">
        <f>SUM(L23:O23)</f>
        <v>153973</v>
      </c>
      <c r="Q23" s="18"/>
    </row>
    <row r="24" spans="1:17" ht="12.75" customHeight="1">
      <c r="A24" s="22" t="s">
        <v>18</v>
      </c>
      <c r="B24" s="29">
        <v>81530</v>
      </c>
      <c r="C24" s="29">
        <v>18697</v>
      </c>
      <c r="D24" s="29"/>
      <c r="E24" s="30"/>
      <c r="F24" s="24">
        <f>SUM(B24:E24)</f>
        <v>100227</v>
      </c>
      <c r="G24" s="29">
        <v>73072</v>
      </c>
      <c r="H24" s="29"/>
      <c r="I24" s="29"/>
      <c r="J24" s="34"/>
      <c r="K24" s="24">
        <f>SUM(G24:J24)</f>
        <v>73072</v>
      </c>
      <c r="L24" s="25">
        <f t="shared" si="13"/>
        <v>8458</v>
      </c>
      <c r="M24" s="25">
        <f t="shared" si="13"/>
        <v>18697</v>
      </c>
      <c r="N24" s="25"/>
      <c r="O24" s="25">
        <f>+E24-J24</f>
        <v>0</v>
      </c>
      <c r="P24" s="26">
        <f>SUM(L24:O24)</f>
        <v>27155</v>
      </c>
      <c r="Q24" s="18"/>
    </row>
    <row r="25" spans="1:17" ht="12.75" customHeight="1">
      <c r="A25" s="22" t="s">
        <v>30</v>
      </c>
      <c r="B25" s="29"/>
      <c r="C25" s="29">
        <v>8800</v>
      </c>
      <c r="D25" s="29"/>
      <c r="E25" s="30">
        <v>2000</v>
      </c>
      <c r="F25" s="24">
        <f>SUM(B25:E25)</f>
        <v>10800</v>
      </c>
      <c r="G25" s="29"/>
      <c r="H25" s="29">
        <v>7251</v>
      </c>
      <c r="I25" s="29"/>
      <c r="J25" s="29">
        <v>1243</v>
      </c>
      <c r="K25" s="24">
        <f>SUM(G25:J25)</f>
        <v>8494</v>
      </c>
      <c r="L25" s="25">
        <f t="shared" si="13"/>
        <v>0</v>
      </c>
      <c r="M25" s="25">
        <f t="shared" si="13"/>
        <v>1549</v>
      </c>
      <c r="N25" s="25"/>
      <c r="O25" s="25">
        <f>+E25-J25</f>
        <v>757</v>
      </c>
      <c r="P25" s="26">
        <f>SUM(L25:O25)</f>
        <v>2306</v>
      </c>
      <c r="Q25" s="18"/>
    </row>
    <row r="26" spans="1:17" ht="12.75" customHeight="1">
      <c r="A26" s="22" t="s">
        <v>19</v>
      </c>
      <c r="B26" s="27">
        <f t="shared" ref="B26:K26" si="14">+B27+B28</f>
        <v>0</v>
      </c>
      <c r="C26" s="27">
        <f t="shared" si="14"/>
        <v>307409</v>
      </c>
      <c r="D26" s="27">
        <f t="shared" si="14"/>
        <v>0</v>
      </c>
      <c r="E26" s="27">
        <f t="shared" si="14"/>
        <v>328993</v>
      </c>
      <c r="F26" s="27">
        <f t="shared" si="14"/>
        <v>636402</v>
      </c>
      <c r="G26" s="27">
        <f t="shared" si="14"/>
        <v>0</v>
      </c>
      <c r="H26" s="27">
        <f t="shared" si="14"/>
        <v>135128</v>
      </c>
      <c r="I26" s="27">
        <f t="shared" si="14"/>
        <v>0</v>
      </c>
      <c r="J26" s="27">
        <f t="shared" si="14"/>
        <v>222106</v>
      </c>
      <c r="K26" s="27">
        <f t="shared" si="14"/>
        <v>357234</v>
      </c>
      <c r="L26" s="27">
        <f>+L27+L28</f>
        <v>0</v>
      </c>
      <c r="M26" s="27">
        <f>+M27+M28</f>
        <v>172281</v>
      </c>
      <c r="N26" s="27"/>
      <c r="O26" s="27">
        <f>+O27+O28</f>
        <v>106887</v>
      </c>
      <c r="P26" s="28">
        <f>+P27+P28</f>
        <v>279168</v>
      </c>
      <c r="Q26" s="18"/>
    </row>
    <row r="27" spans="1:17" ht="12.75" customHeight="1">
      <c r="A27" s="23" t="s">
        <v>20</v>
      </c>
      <c r="B27" s="29"/>
      <c r="C27" s="29">
        <v>307409</v>
      </c>
      <c r="D27" s="29"/>
      <c r="E27" s="30">
        <v>328993</v>
      </c>
      <c r="F27" s="24">
        <f>SUM(B27:E27)</f>
        <v>636402</v>
      </c>
      <c r="G27" s="29"/>
      <c r="H27" s="29">
        <f>131978+1701+1041+408</f>
        <v>135128</v>
      </c>
      <c r="I27" s="29"/>
      <c r="J27" s="29">
        <v>222106</v>
      </c>
      <c r="K27" s="24">
        <f>SUM(G27:J27)</f>
        <v>357234</v>
      </c>
      <c r="L27" s="25">
        <f>+B27-G27</f>
        <v>0</v>
      </c>
      <c r="M27" s="25">
        <f>+C27-H27</f>
        <v>172281</v>
      </c>
      <c r="N27" s="25"/>
      <c r="O27" s="25">
        <f>+E27-J27</f>
        <v>106887</v>
      </c>
      <c r="P27" s="26">
        <f>SUM(L27:O27)</f>
        <v>279168</v>
      </c>
      <c r="Q27" s="18"/>
    </row>
    <row r="28" spans="1:17" ht="12.75" customHeight="1">
      <c r="A28" s="23" t="s">
        <v>21</v>
      </c>
      <c r="B28" s="29"/>
      <c r="C28" s="29"/>
      <c r="D28" s="29"/>
      <c r="E28" s="30"/>
      <c r="F28" s="24">
        <f>SUM(B28:E28)</f>
        <v>0</v>
      </c>
      <c r="G28" s="29"/>
      <c r="H28" s="29"/>
      <c r="I28" s="29"/>
      <c r="J28" s="29"/>
      <c r="K28" s="24">
        <f>SUM(G28:J28)</f>
        <v>0</v>
      </c>
      <c r="L28" s="25">
        <f>+B28-G28</f>
        <v>0</v>
      </c>
      <c r="M28" s="25">
        <f>+C28-H28</f>
        <v>0</v>
      </c>
      <c r="N28" s="25"/>
      <c r="O28" s="25">
        <f>+E28-J28</f>
        <v>0</v>
      </c>
      <c r="P28" s="26">
        <f>SUM(L28:O28)</f>
        <v>0</v>
      </c>
      <c r="Q28" s="18"/>
    </row>
    <row r="29" spans="1:17" ht="12.75" customHeight="1">
      <c r="A29" s="33"/>
      <c r="B29" s="25"/>
      <c r="C29" s="25"/>
      <c r="D29" s="25"/>
      <c r="E29" s="43"/>
      <c r="F29" s="24"/>
      <c r="G29" s="25"/>
      <c r="H29" s="25"/>
      <c r="I29" s="25"/>
      <c r="J29" s="25"/>
      <c r="K29" s="24"/>
      <c r="L29" s="25"/>
      <c r="M29" s="25"/>
      <c r="N29" s="25"/>
      <c r="O29" s="25"/>
      <c r="P29" s="26"/>
      <c r="Q29" s="18"/>
    </row>
    <row r="30" spans="1:17" ht="12.75" customHeight="1">
      <c r="A30" s="33" t="s">
        <v>141</v>
      </c>
      <c r="B30" s="17">
        <f t="shared" ref="B30:K30" si="15">+B31+B35</f>
        <v>179360</v>
      </c>
      <c r="C30" s="17">
        <f t="shared" si="15"/>
        <v>150735</v>
      </c>
      <c r="D30" s="17">
        <f t="shared" si="15"/>
        <v>0</v>
      </c>
      <c r="E30" s="17">
        <f t="shared" si="15"/>
        <v>7769</v>
      </c>
      <c r="F30" s="17">
        <f t="shared" si="15"/>
        <v>337864</v>
      </c>
      <c r="G30" s="17">
        <f t="shared" si="15"/>
        <v>159741</v>
      </c>
      <c r="H30" s="17">
        <f t="shared" si="15"/>
        <v>129883</v>
      </c>
      <c r="I30" s="17">
        <f t="shared" si="15"/>
        <v>0</v>
      </c>
      <c r="J30" s="17">
        <f t="shared" si="15"/>
        <v>6015</v>
      </c>
      <c r="K30" s="17">
        <f t="shared" si="15"/>
        <v>295639</v>
      </c>
      <c r="L30" s="17">
        <f>+L31+L35</f>
        <v>19619</v>
      </c>
      <c r="M30" s="17">
        <f>+M31+M35</f>
        <v>20852</v>
      </c>
      <c r="N30" s="17"/>
      <c r="O30" s="17">
        <f>+O31+O35</f>
        <v>1754</v>
      </c>
      <c r="P30" s="17">
        <f>+P31+P35</f>
        <v>42225</v>
      </c>
      <c r="Q30" s="18">
        <f>+K30/F30</f>
        <v>0.87502367816636284</v>
      </c>
    </row>
    <row r="31" spans="1:17" ht="12.75" customHeight="1">
      <c r="A31" s="41" t="s">
        <v>15</v>
      </c>
      <c r="B31" s="20">
        <f t="shared" ref="B31:K31" si="16">+B32+B33+B34</f>
        <v>179360</v>
      </c>
      <c r="C31" s="20">
        <f t="shared" si="16"/>
        <v>149217</v>
      </c>
      <c r="D31" s="20">
        <f t="shared" si="16"/>
        <v>0</v>
      </c>
      <c r="E31" s="20">
        <f t="shared" si="16"/>
        <v>6300</v>
      </c>
      <c r="F31" s="20">
        <f t="shared" si="16"/>
        <v>334877</v>
      </c>
      <c r="G31" s="20">
        <f t="shared" si="16"/>
        <v>159741</v>
      </c>
      <c r="H31" s="20">
        <f t="shared" si="16"/>
        <v>129883</v>
      </c>
      <c r="I31" s="20">
        <f t="shared" si="16"/>
        <v>0</v>
      </c>
      <c r="J31" s="20">
        <f t="shared" si="16"/>
        <v>6015</v>
      </c>
      <c r="K31" s="20">
        <f t="shared" si="16"/>
        <v>295639</v>
      </c>
      <c r="L31" s="20">
        <f>+L32+L33+L34</f>
        <v>19619</v>
      </c>
      <c r="M31" s="20">
        <f>+M32+M33+M34</f>
        <v>19334</v>
      </c>
      <c r="N31" s="20"/>
      <c r="O31" s="20">
        <f>+O32+O33+O34</f>
        <v>285</v>
      </c>
      <c r="P31" s="21">
        <f>+P32+P33+P34</f>
        <v>39238</v>
      </c>
      <c r="Q31" s="18"/>
    </row>
    <row r="32" spans="1:17" ht="12.75" customHeight="1">
      <c r="A32" s="22" t="s">
        <v>16</v>
      </c>
      <c r="B32" s="29">
        <v>121056</v>
      </c>
      <c r="C32" s="29">
        <v>149217</v>
      </c>
      <c r="D32" s="29"/>
      <c r="E32" s="30">
        <v>6300</v>
      </c>
      <c r="F32" s="24">
        <f>SUM(B32:E32)</f>
        <v>276573</v>
      </c>
      <c r="G32" s="29">
        <v>104923</v>
      </c>
      <c r="H32" s="29">
        <v>129883</v>
      </c>
      <c r="I32" s="29"/>
      <c r="J32" s="29">
        <v>6015</v>
      </c>
      <c r="K32" s="24">
        <f>SUM(G32:J32)</f>
        <v>240821</v>
      </c>
      <c r="L32" s="25">
        <f t="shared" ref="L32:M34" si="17">+B32-G32</f>
        <v>16133</v>
      </c>
      <c r="M32" s="25">
        <f t="shared" si="17"/>
        <v>19334</v>
      </c>
      <c r="N32" s="25"/>
      <c r="O32" s="25">
        <f>+E32-J32</f>
        <v>285</v>
      </c>
      <c r="P32" s="26">
        <f>SUM(L32:O32)</f>
        <v>35752</v>
      </c>
      <c r="Q32" s="18"/>
    </row>
    <row r="33" spans="1:17" ht="12.75" customHeight="1">
      <c r="A33" s="22" t="s">
        <v>17</v>
      </c>
      <c r="B33" s="29">
        <v>47396</v>
      </c>
      <c r="C33" s="29"/>
      <c r="D33" s="29"/>
      <c r="E33" s="30"/>
      <c r="F33" s="24">
        <f>SUM(B33:E33)</f>
        <v>47396</v>
      </c>
      <c r="G33" s="29">
        <v>47082</v>
      </c>
      <c r="H33" s="34"/>
      <c r="I33" s="34"/>
      <c r="J33" s="34"/>
      <c r="K33" s="24">
        <f>SUM(G33:J33)</f>
        <v>47082</v>
      </c>
      <c r="L33" s="25">
        <f t="shared" si="17"/>
        <v>314</v>
      </c>
      <c r="M33" s="25">
        <f t="shared" si="17"/>
        <v>0</v>
      </c>
      <c r="N33" s="25"/>
      <c r="O33" s="25">
        <f>+E33-J33</f>
        <v>0</v>
      </c>
      <c r="P33" s="26">
        <f>SUM(L33:O33)</f>
        <v>314</v>
      </c>
      <c r="Q33" s="18"/>
    </row>
    <row r="34" spans="1:17" ht="12.75" customHeight="1">
      <c r="A34" s="22" t="s">
        <v>18</v>
      </c>
      <c r="B34" s="29">
        <v>10908</v>
      </c>
      <c r="C34" s="34"/>
      <c r="D34" s="34"/>
      <c r="E34" s="35"/>
      <c r="F34" s="24">
        <f>SUM(B34:E34)</f>
        <v>10908</v>
      </c>
      <c r="G34" s="29">
        <v>7736</v>
      </c>
      <c r="H34" s="34"/>
      <c r="I34" s="34"/>
      <c r="J34" s="34"/>
      <c r="K34" s="24">
        <f>SUM(G34:J34)</f>
        <v>7736</v>
      </c>
      <c r="L34" s="25">
        <f t="shared" si="17"/>
        <v>3172</v>
      </c>
      <c r="M34" s="25">
        <f t="shared" si="17"/>
        <v>0</v>
      </c>
      <c r="N34" s="25"/>
      <c r="O34" s="25">
        <f>+E34-J34</f>
        <v>0</v>
      </c>
      <c r="P34" s="26">
        <f>SUM(L34:O34)</f>
        <v>3172</v>
      </c>
      <c r="Q34" s="18"/>
    </row>
    <row r="35" spans="1:17" ht="12.75" customHeight="1">
      <c r="A35" s="22" t="s">
        <v>19</v>
      </c>
      <c r="B35" s="27">
        <f t="shared" ref="B35:K35" si="18">+B36+B37</f>
        <v>0</v>
      </c>
      <c r="C35" s="27">
        <f t="shared" si="18"/>
        <v>1518</v>
      </c>
      <c r="D35" s="27">
        <f t="shared" si="18"/>
        <v>0</v>
      </c>
      <c r="E35" s="27">
        <f t="shared" si="18"/>
        <v>1469</v>
      </c>
      <c r="F35" s="27">
        <f t="shared" si="18"/>
        <v>2987</v>
      </c>
      <c r="G35" s="27">
        <f t="shared" si="18"/>
        <v>0</v>
      </c>
      <c r="H35" s="27">
        <f t="shared" si="18"/>
        <v>0</v>
      </c>
      <c r="I35" s="27">
        <f t="shared" si="18"/>
        <v>0</v>
      </c>
      <c r="J35" s="27">
        <f t="shared" si="18"/>
        <v>0</v>
      </c>
      <c r="K35" s="27">
        <f t="shared" si="18"/>
        <v>0</v>
      </c>
      <c r="L35" s="27">
        <f>+L36+L37</f>
        <v>0</v>
      </c>
      <c r="M35" s="27">
        <f>+M36+M37</f>
        <v>1518</v>
      </c>
      <c r="N35" s="27"/>
      <c r="O35" s="27">
        <f>+O36+O37</f>
        <v>1469</v>
      </c>
      <c r="P35" s="28">
        <f>+P36+P37</f>
        <v>2987</v>
      </c>
      <c r="Q35" s="18"/>
    </row>
    <row r="36" spans="1:17" ht="12.75" customHeight="1">
      <c r="A36" s="23" t="s">
        <v>20</v>
      </c>
      <c r="B36" s="29"/>
      <c r="C36" s="29">
        <v>1518</v>
      </c>
      <c r="D36" s="29"/>
      <c r="E36" s="30">
        <v>1469</v>
      </c>
      <c r="F36" s="24">
        <f>SUM(B36:E36)</f>
        <v>2987</v>
      </c>
      <c r="G36" s="29"/>
      <c r="H36" s="29"/>
      <c r="I36" s="29"/>
      <c r="J36" s="29"/>
      <c r="K36" s="24">
        <f>SUM(G36:J36)</f>
        <v>0</v>
      </c>
      <c r="L36" s="25">
        <f>+B36-G36</f>
        <v>0</v>
      </c>
      <c r="M36" s="25">
        <f>+C36-H36</f>
        <v>1518</v>
      </c>
      <c r="N36" s="25"/>
      <c r="O36" s="25">
        <f>+E36-J36</f>
        <v>1469</v>
      </c>
      <c r="P36" s="26">
        <f>SUM(L36:O36)</f>
        <v>2987</v>
      </c>
      <c r="Q36" s="18"/>
    </row>
    <row r="37" spans="1:17" ht="12.75" customHeight="1">
      <c r="A37" s="23" t="s">
        <v>21</v>
      </c>
      <c r="B37" s="29"/>
      <c r="C37" s="29"/>
      <c r="D37" s="29"/>
      <c r="E37" s="30"/>
      <c r="F37" s="24">
        <f>SUM(B37:E37)</f>
        <v>0</v>
      </c>
      <c r="G37" s="29"/>
      <c r="H37" s="29"/>
      <c r="I37" s="29"/>
      <c r="J37" s="29"/>
      <c r="K37" s="24">
        <f>SUM(G37:J37)</f>
        <v>0</v>
      </c>
      <c r="L37" s="25">
        <f>+B37-G37</f>
        <v>0</v>
      </c>
      <c r="M37" s="25">
        <f>+C37-H37</f>
        <v>0</v>
      </c>
      <c r="N37" s="25"/>
      <c r="O37" s="25">
        <f>+E37-J37</f>
        <v>0</v>
      </c>
      <c r="P37" s="26">
        <f>SUM(L37:O37)</f>
        <v>0</v>
      </c>
      <c r="Q37" s="18"/>
    </row>
    <row r="38" spans="1:17" ht="12.75" customHeight="1">
      <c r="A38" s="33"/>
      <c r="B38" s="25"/>
      <c r="C38" s="25"/>
      <c r="D38" s="25"/>
      <c r="E38" s="43"/>
      <c r="F38" s="24"/>
      <c r="G38" s="47"/>
      <c r="H38" s="47"/>
      <c r="I38" s="47"/>
      <c r="J38" s="47"/>
      <c r="K38" s="32"/>
      <c r="L38" s="25"/>
      <c r="M38" s="25"/>
      <c r="N38" s="25"/>
      <c r="O38" s="25"/>
      <c r="P38" s="26"/>
      <c r="Q38" s="18"/>
    </row>
    <row r="39" spans="1:17" ht="12.75" customHeight="1">
      <c r="A39" s="33" t="s">
        <v>142</v>
      </c>
      <c r="B39" s="17">
        <f t="shared" ref="B39:K39" si="19">+B40+B44</f>
        <v>38917</v>
      </c>
      <c r="C39" s="17">
        <f t="shared" si="19"/>
        <v>34505</v>
      </c>
      <c r="D39" s="17">
        <f t="shared" si="19"/>
        <v>0</v>
      </c>
      <c r="E39" s="17">
        <f t="shared" si="19"/>
        <v>6087</v>
      </c>
      <c r="F39" s="17">
        <f t="shared" si="19"/>
        <v>79509</v>
      </c>
      <c r="G39" s="17">
        <f t="shared" si="19"/>
        <v>34053</v>
      </c>
      <c r="H39" s="17">
        <f t="shared" si="19"/>
        <v>30801</v>
      </c>
      <c r="I39" s="17">
        <f t="shared" si="19"/>
        <v>0</v>
      </c>
      <c r="J39" s="17">
        <f t="shared" si="19"/>
        <v>3144</v>
      </c>
      <c r="K39" s="17">
        <f t="shared" si="19"/>
        <v>67998</v>
      </c>
      <c r="L39" s="17">
        <f>+L40+L44</f>
        <v>4864</v>
      </c>
      <c r="M39" s="17">
        <f>+M40+M44</f>
        <v>3704</v>
      </c>
      <c r="N39" s="17"/>
      <c r="O39" s="17">
        <f>+O40+O44</f>
        <v>2943</v>
      </c>
      <c r="P39" s="17">
        <f>+P40+P44</f>
        <v>11511</v>
      </c>
      <c r="Q39" s="18">
        <f>+K39/F39</f>
        <v>0.8552239369128023</v>
      </c>
    </row>
    <row r="40" spans="1:17" ht="12.75" customHeight="1">
      <c r="A40" s="41" t="s">
        <v>15</v>
      </c>
      <c r="B40" s="20">
        <f t="shared" ref="B40:K40" si="20">+B41+B42+B43</f>
        <v>38917</v>
      </c>
      <c r="C40" s="20">
        <f t="shared" si="20"/>
        <v>32296</v>
      </c>
      <c r="D40" s="20">
        <f t="shared" si="20"/>
        <v>0</v>
      </c>
      <c r="E40" s="20">
        <f t="shared" si="20"/>
        <v>5741</v>
      </c>
      <c r="F40" s="20">
        <f t="shared" si="20"/>
        <v>76954</v>
      </c>
      <c r="G40" s="20">
        <f t="shared" si="20"/>
        <v>34053</v>
      </c>
      <c r="H40" s="20">
        <f t="shared" si="20"/>
        <v>29387</v>
      </c>
      <c r="I40" s="20">
        <f t="shared" si="20"/>
        <v>0</v>
      </c>
      <c r="J40" s="20">
        <f t="shared" si="20"/>
        <v>2847</v>
      </c>
      <c r="K40" s="20">
        <f t="shared" si="20"/>
        <v>66287</v>
      </c>
      <c r="L40" s="20">
        <f>+L41+L42+L43</f>
        <v>4864</v>
      </c>
      <c r="M40" s="20">
        <f>+M41+M42+M43</f>
        <v>2909</v>
      </c>
      <c r="N40" s="20"/>
      <c r="O40" s="20">
        <f>+O41+O42+O43</f>
        <v>2894</v>
      </c>
      <c r="P40" s="21">
        <f>+P41+P42+P43</f>
        <v>10667</v>
      </c>
      <c r="Q40" s="18"/>
    </row>
    <row r="41" spans="1:17" ht="12.75" customHeight="1">
      <c r="A41" s="22" t="s">
        <v>16</v>
      </c>
      <c r="B41" s="29">
        <v>27335</v>
      </c>
      <c r="C41" s="29">
        <v>32296</v>
      </c>
      <c r="D41" s="29"/>
      <c r="E41" s="30">
        <v>5741</v>
      </c>
      <c r="F41" s="24">
        <f>SUM(B41:E41)</f>
        <v>65372</v>
      </c>
      <c r="G41" s="29">
        <v>23109</v>
      </c>
      <c r="H41" s="29">
        <v>29387</v>
      </c>
      <c r="I41" s="29"/>
      <c r="J41" s="29">
        <v>2847</v>
      </c>
      <c r="K41" s="24">
        <f>SUM(G41:J41)</f>
        <v>55343</v>
      </c>
      <c r="L41" s="25">
        <f t="shared" ref="L41:M43" si="21">+B41-G41</f>
        <v>4226</v>
      </c>
      <c r="M41" s="25">
        <f t="shared" si="21"/>
        <v>2909</v>
      </c>
      <c r="N41" s="25"/>
      <c r="O41" s="25">
        <f>+E41-J41</f>
        <v>2894</v>
      </c>
      <c r="P41" s="26">
        <f>SUM(L41:O41)</f>
        <v>10029</v>
      </c>
      <c r="Q41" s="18"/>
    </row>
    <row r="42" spans="1:17" ht="12.75" customHeight="1">
      <c r="A42" s="22" t="s">
        <v>17</v>
      </c>
      <c r="B42" s="29">
        <v>9117</v>
      </c>
      <c r="C42" s="34"/>
      <c r="D42" s="34"/>
      <c r="E42" s="30"/>
      <c r="F42" s="24">
        <f>SUM(B42:E42)</f>
        <v>9117</v>
      </c>
      <c r="G42" s="29">
        <v>9014</v>
      </c>
      <c r="H42" s="29"/>
      <c r="I42" s="29"/>
      <c r="J42" s="29"/>
      <c r="K42" s="24">
        <f>SUM(G42:J42)</f>
        <v>9014</v>
      </c>
      <c r="L42" s="25">
        <f t="shared" si="21"/>
        <v>103</v>
      </c>
      <c r="M42" s="25">
        <f t="shared" si="21"/>
        <v>0</v>
      </c>
      <c r="N42" s="25"/>
      <c r="O42" s="25">
        <f>+E42-J42</f>
        <v>0</v>
      </c>
      <c r="P42" s="26">
        <f>SUM(L42:O42)</f>
        <v>103</v>
      </c>
      <c r="Q42" s="18"/>
    </row>
    <row r="43" spans="1:17" ht="12.75" customHeight="1">
      <c r="A43" s="22" t="s">
        <v>18</v>
      </c>
      <c r="B43" s="29">
        <v>2465</v>
      </c>
      <c r="C43" s="34"/>
      <c r="D43" s="34"/>
      <c r="E43" s="35"/>
      <c r="F43" s="24">
        <f>SUM(B43:E43)</f>
        <v>2465</v>
      </c>
      <c r="G43" s="29">
        <v>1930</v>
      </c>
      <c r="H43" s="34"/>
      <c r="I43" s="34"/>
      <c r="J43" s="34"/>
      <c r="K43" s="24">
        <f>SUM(G43:J43)</f>
        <v>1930</v>
      </c>
      <c r="L43" s="25">
        <f t="shared" si="21"/>
        <v>535</v>
      </c>
      <c r="M43" s="25">
        <f t="shared" si="21"/>
        <v>0</v>
      </c>
      <c r="N43" s="25"/>
      <c r="O43" s="25">
        <f>+E43-J43</f>
        <v>0</v>
      </c>
      <c r="P43" s="26">
        <f>SUM(L43:O43)</f>
        <v>535</v>
      </c>
      <c r="Q43" s="18"/>
    </row>
    <row r="44" spans="1:17" ht="12.75" customHeight="1">
      <c r="A44" s="22" t="s">
        <v>19</v>
      </c>
      <c r="B44" s="27">
        <f t="shared" ref="B44:K44" si="22">+B45+B46</f>
        <v>0</v>
      </c>
      <c r="C44" s="27">
        <f t="shared" si="22"/>
        <v>2209</v>
      </c>
      <c r="D44" s="27">
        <f t="shared" si="22"/>
        <v>0</v>
      </c>
      <c r="E44" s="27">
        <f t="shared" si="22"/>
        <v>346</v>
      </c>
      <c r="F44" s="27">
        <f t="shared" si="22"/>
        <v>2555</v>
      </c>
      <c r="G44" s="27">
        <f t="shared" si="22"/>
        <v>0</v>
      </c>
      <c r="H44" s="27">
        <f t="shared" si="22"/>
        <v>1414</v>
      </c>
      <c r="I44" s="27">
        <f t="shared" si="22"/>
        <v>0</v>
      </c>
      <c r="J44" s="27">
        <f t="shared" si="22"/>
        <v>297</v>
      </c>
      <c r="K44" s="27">
        <f t="shared" si="22"/>
        <v>1711</v>
      </c>
      <c r="L44" s="27">
        <f>+L45+L46</f>
        <v>0</v>
      </c>
      <c r="M44" s="27">
        <f>+M45+M46</f>
        <v>795</v>
      </c>
      <c r="N44" s="27"/>
      <c r="O44" s="27">
        <f>+O45+O46</f>
        <v>49</v>
      </c>
      <c r="P44" s="28">
        <f>+P45+P46</f>
        <v>844</v>
      </c>
      <c r="Q44" s="18"/>
    </row>
    <row r="45" spans="1:17" ht="12.75" customHeight="1">
      <c r="A45" s="23" t="s">
        <v>20</v>
      </c>
      <c r="B45" s="29"/>
      <c r="C45" s="29">
        <v>2209</v>
      </c>
      <c r="D45" s="29"/>
      <c r="E45" s="30">
        <v>346</v>
      </c>
      <c r="F45" s="24">
        <f>SUM(B45:E45)</f>
        <v>2555</v>
      </c>
      <c r="G45" s="29"/>
      <c r="H45" s="29">
        <v>1414</v>
      </c>
      <c r="I45" s="29"/>
      <c r="J45" s="29">
        <v>297</v>
      </c>
      <c r="K45" s="24">
        <f>SUM(G45:J45)</f>
        <v>1711</v>
      </c>
      <c r="L45" s="25">
        <f>+B45-G45</f>
        <v>0</v>
      </c>
      <c r="M45" s="25">
        <f>+C45-H45</f>
        <v>795</v>
      </c>
      <c r="N45" s="25"/>
      <c r="O45" s="25">
        <f>+E45-J45</f>
        <v>49</v>
      </c>
      <c r="P45" s="26">
        <f>SUM(L45:O45)</f>
        <v>844</v>
      </c>
      <c r="Q45" s="18"/>
    </row>
    <row r="46" spans="1:17" ht="12.75" customHeight="1">
      <c r="A46" s="23" t="s">
        <v>21</v>
      </c>
      <c r="B46" s="29"/>
      <c r="C46" s="29"/>
      <c r="D46" s="29"/>
      <c r="E46" s="30"/>
      <c r="F46" s="24">
        <f>SUM(B46:E46)</f>
        <v>0</v>
      </c>
      <c r="G46" s="29"/>
      <c r="H46" s="29"/>
      <c r="I46" s="29"/>
      <c r="J46" s="29"/>
      <c r="K46" s="24">
        <f>SUM(G46:J46)</f>
        <v>0</v>
      </c>
      <c r="L46" s="25">
        <f>+B46-G46</f>
        <v>0</v>
      </c>
      <c r="M46" s="25">
        <f>+C46-H46</f>
        <v>0</v>
      </c>
      <c r="N46" s="25"/>
      <c r="O46" s="25">
        <f>+E46-J46</f>
        <v>0</v>
      </c>
      <c r="P46" s="26">
        <f>SUM(L46:O46)</f>
        <v>0</v>
      </c>
      <c r="Q46" s="18"/>
    </row>
    <row r="47" spans="1:17" ht="12.75" customHeight="1">
      <c r="A47" s="33"/>
      <c r="B47" s="25"/>
      <c r="C47" s="25"/>
      <c r="D47" s="25"/>
      <c r="E47" s="43"/>
      <c r="F47" s="24"/>
      <c r="G47" s="47"/>
      <c r="H47" s="47"/>
      <c r="I47" s="47"/>
      <c r="J47" s="47"/>
      <c r="K47" s="32"/>
      <c r="L47" s="25"/>
      <c r="M47" s="25"/>
      <c r="N47" s="25"/>
      <c r="O47" s="25"/>
      <c r="P47" s="26"/>
      <c r="Q47" s="18"/>
    </row>
    <row r="48" spans="1:17" ht="12.75" customHeight="1">
      <c r="A48" s="33" t="s">
        <v>143</v>
      </c>
      <c r="B48" s="17">
        <f t="shared" ref="B48:K48" si="23">+B49+B53</f>
        <v>20008</v>
      </c>
      <c r="C48" s="17">
        <f t="shared" si="23"/>
        <v>11852</v>
      </c>
      <c r="D48" s="17">
        <f t="shared" si="23"/>
        <v>0</v>
      </c>
      <c r="E48" s="17">
        <f t="shared" si="23"/>
        <v>0</v>
      </c>
      <c r="F48" s="17">
        <f t="shared" si="23"/>
        <v>31860</v>
      </c>
      <c r="G48" s="17">
        <f t="shared" si="23"/>
        <v>14156</v>
      </c>
      <c r="H48" s="17">
        <f t="shared" si="23"/>
        <v>8867</v>
      </c>
      <c r="I48" s="17">
        <f t="shared" si="23"/>
        <v>0</v>
      </c>
      <c r="J48" s="17">
        <f t="shared" si="23"/>
        <v>0</v>
      </c>
      <c r="K48" s="17">
        <f t="shared" si="23"/>
        <v>23023</v>
      </c>
      <c r="L48" s="17">
        <f>+L49+L53</f>
        <v>5852</v>
      </c>
      <c r="M48" s="17">
        <f>+M49+M53</f>
        <v>2985</v>
      </c>
      <c r="N48" s="17"/>
      <c r="O48" s="17">
        <f>+O49+O53</f>
        <v>0</v>
      </c>
      <c r="P48" s="17">
        <f>+P49+P53</f>
        <v>8837</v>
      </c>
      <c r="Q48" s="18">
        <f>+K48/F48</f>
        <v>0.72263025737602005</v>
      </c>
    </row>
    <row r="49" spans="1:17" ht="12.75" customHeight="1">
      <c r="A49" s="41" t="s">
        <v>15</v>
      </c>
      <c r="B49" s="20">
        <f t="shared" ref="B49:K49" si="24">+B50+B51+B52</f>
        <v>20008</v>
      </c>
      <c r="C49" s="20">
        <f t="shared" si="24"/>
        <v>11852</v>
      </c>
      <c r="D49" s="20">
        <f t="shared" si="24"/>
        <v>0</v>
      </c>
      <c r="E49" s="20">
        <f t="shared" si="24"/>
        <v>0</v>
      </c>
      <c r="F49" s="20">
        <f t="shared" si="24"/>
        <v>31860</v>
      </c>
      <c r="G49" s="20">
        <f t="shared" si="24"/>
        <v>14156</v>
      </c>
      <c r="H49" s="20">
        <f t="shared" si="24"/>
        <v>8867</v>
      </c>
      <c r="I49" s="20">
        <f t="shared" si="24"/>
        <v>0</v>
      </c>
      <c r="J49" s="20">
        <f t="shared" si="24"/>
        <v>0</v>
      </c>
      <c r="K49" s="20">
        <f t="shared" si="24"/>
        <v>23023</v>
      </c>
      <c r="L49" s="20">
        <f>+L50+L51+L52</f>
        <v>5852</v>
      </c>
      <c r="M49" s="20">
        <f>+M50+M51+M52</f>
        <v>2985</v>
      </c>
      <c r="N49" s="20"/>
      <c r="O49" s="20">
        <f>+O50+O51+O52</f>
        <v>0</v>
      </c>
      <c r="P49" s="21">
        <f>+P50+P51+P52</f>
        <v>8837</v>
      </c>
      <c r="Q49" s="18"/>
    </row>
    <row r="50" spans="1:17" ht="12.75" customHeight="1">
      <c r="A50" s="22" t="s">
        <v>16</v>
      </c>
      <c r="B50" s="29">
        <v>13643</v>
      </c>
      <c r="C50" s="29">
        <v>11852</v>
      </c>
      <c r="D50" s="29"/>
      <c r="E50" s="30"/>
      <c r="F50" s="24">
        <f>SUM(B50:E50)</f>
        <v>25495</v>
      </c>
      <c r="G50" s="29">
        <v>8353</v>
      </c>
      <c r="H50" s="29">
        <v>8867</v>
      </c>
      <c r="I50" s="29"/>
      <c r="J50" s="29"/>
      <c r="K50" s="24">
        <f>SUM(G50:J50)</f>
        <v>17220</v>
      </c>
      <c r="L50" s="25">
        <f t="shared" ref="L50:M52" si="25">+B50-G50</f>
        <v>5290</v>
      </c>
      <c r="M50" s="25">
        <f t="shared" si="25"/>
        <v>2985</v>
      </c>
      <c r="N50" s="25"/>
      <c r="O50" s="25">
        <f>+E50-J50</f>
        <v>0</v>
      </c>
      <c r="P50" s="26">
        <f>SUM(L50:O50)</f>
        <v>8275</v>
      </c>
      <c r="Q50" s="18"/>
    </row>
    <row r="51" spans="1:17" ht="12.75" customHeight="1">
      <c r="A51" s="22" t="s">
        <v>17</v>
      </c>
      <c r="B51" s="29">
        <v>5141</v>
      </c>
      <c r="C51" s="34"/>
      <c r="D51" s="34"/>
      <c r="E51" s="30"/>
      <c r="F51" s="24">
        <f>SUM(B51:E51)</f>
        <v>5141</v>
      </c>
      <c r="G51" s="29">
        <v>5101</v>
      </c>
      <c r="H51" s="34"/>
      <c r="I51" s="34"/>
      <c r="J51" s="34"/>
      <c r="K51" s="24">
        <f>SUM(G51:J51)</f>
        <v>5101</v>
      </c>
      <c r="L51" s="25">
        <f t="shared" si="25"/>
        <v>40</v>
      </c>
      <c r="M51" s="25">
        <f t="shared" si="25"/>
        <v>0</v>
      </c>
      <c r="N51" s="25"/>
      <c r="O51" s="25">
        <f>+E51-J51</f>
        <v>0</v>
      </c>
      <c r="P51" s="26">
        <f>SUM(L51:O51)</f>
        <v>40</v>
      </c>
      <c r="Q51" s="18"/>
    </row>
    <row r="52" spans="1:17" ht="12.75" customHeight="1">
      <c r="A52" s="22" t="s">
        <v>18</v>
      </c>
      <c r="B52" s="29">
        <v>1224</v>
      </c>
      <c r="C52" s="34"/>
      <c r="D52" s="34"/>
      <c r="E52" s="35"/>
      <c r="F52" s="24">
        <f>SUM(B52:E52)</f>
        <v>1224</v>
      </c>
      <c r="G52" s="29">
        <v>702</v>
      </c>
      <c r="H52" s="34"/>
      <c r="I52" s="34"/>
      <c r="J52" s="34"/>
      <c r="K52" s="24">
        <f>SUM(G52:J52)</f>
        <v>702</v>
      </c>
      <c r="L52" s="25">
        <f t="shared" si="25"/>
        <v>522</v>
      </c>
      <c r="M52" s="25">
        <f t="shared" si="25"/>
        <v>0</v>
      </c>
      <c r="N52" s="25"/>
      <c r="O52" s="25">
        <f>+E52-J52</f>
        <v>0</v>
      </c>
      <c r="P52" s="26">
        <f>SUM(L52:O52)</f>
        <v>522</v>
      </c>
      <c r="Q52" s="18"/>
    </row>
    <row r="53" spans="1:17" ht="12.75" customHeight="1">
      <c r="A53" s="22" t="s">
        <v>19</v>
      </c>
      <c r="B53" s="27">
        <f t="shared" ref="B53:K53" si="26">+B54+B55</f>
        <v>0</v>
      </c>
      <c r="C53" s="27">
        <f t="shared" si="26"/>
        <v>0</v>
      </c>
      <c r="D53" s="27">
        <f t="shared" si="26"/>
        <v>0</v>
      </c>
      <c r="E53" s="27">
        <f t="shared" si="26"/>
        <v>0</v>
      </c>
      <c r="F53" s="27">
        <f t="shared" si="26"/>
        <v>0</v>
      </c>
      <c r="G53" s="27">
        <f t="shared" si="26"/>
        <v>0</v>
      </c>
      <c r="H53" s="27">
        <f t="shared" si="26"/>
        <v>0</v>
      </c>
      <c r="I53" s="27">
        <f t="shared" si="26"/>
        <v>0</v>
      </c>
      <c r="J53" s="27">
        <f t="shared" si="26"/>
        <v>0</v>
      </c>
      <c r="K53" s="27">
        <f t="shared" si="26"/>
        <v>0</v>
      </c>
      <c r="L53" s="27">
        <f>+L54+L55</f>
        <v>0</v>
      </c>
      <c r="M53" s="27">
        <f>+M54+M55</f>
        <v>0</v>
      </c>
      <c r="N53" s="27"/>
      <c r="O53" s="27">
        <f>+O54+O55</f>
        <v>0</v>
      </c>
      <c r="P53" s="28">
        <f>+P54+P55</f>
        <v>0</v>
      </c>
      <c r="Q53" s="18"/>
    </row>
    <row r="54" spans="1:17" ht="12.75" customHeight="1">
      <c r="A54" s="23" t="s">
        <v>20</v>
      </c>
      <c r="B54" s="29"/>
      <c r="C54" s="29"/>
      <c r="D54" s="29"/>
      <c r="E54" s="30"/>
      <c r="F54" s="24">
        <f>SUM(B54:E54)</f>
        <v>0</v>
      </c>
      <c r="G54" s="29"/>
      <c r="H54" s="29"/>
      <c r="I54" s="29"/>
      <c r="J54" s="29"/>
      <c r="K54" s="24">
        <f>SUM(G54:J54)</f>
        <v>0</v>
      </c>
      <c r="L54" s="25">
        <f>+B54-G54</f>
        <v>0</v>
      </c>
      <c r="M54" s="25">
        <f>+C54-H54</f>
        <v>0</v>
      </c>
      <c r="N54" s="25"/>
      <c r="O54" s="25">
        <f>+E54-J54</f>
        <v>0</v>
      </c>
      <c r="P54" s="26">
        <f>SUM(L54:O54)</f>
        <v>0</v>
      </c>
      <c r="Q54" s="18"/>
    </row>
    <row r="55" spans="1:17" ht="12.75" customHeight="1">
      <c r="A55" s="23" t="s">
        <v>21</v>
      </c>
      <c r="B55" s="29"/>
      <c r="C55" s="29"/>
      <c r="D55" s="29"/>
      <c r="E55" s="30"/>
      <c r="F55" s="24">
        <f>SUM(B55:E55)</f>
        <v>0</v>
      </c>
      <c r="G55" s="29"/>
      <c r="H55" s="29"/>
      <c r="I55" s="29"/>
      <c r="J55" s="29"/>
      <c r="K55" s="24">
        <f>SUM(G55:J55)</f>
        <v>0</v>
      </c>
      <c r="L55" s="25">
        <f>+B55-G55</f>
        <v>0</v>
      </c>
      <c r="M55" s="25">
        <f>+C55-H55</f>
        <v>0</v>
      </c>
      <c r="N55" s="25"/>
      <c r="O55" s="25">
        <f>+E55-J55</f>
        <v>0</v>
      </c>
      <c r="P55" s="26">
        <f>SUM(L55:O55)</f>
        <v>0</v>
      </c>
      <c r="Q55" s="18"/>
    </row>
    <row r="56" spans="1:17" ht="12.75" customHeight="1">
      <c r="A56" s="217"/>
      <c r="B56" s="44"/>
      <c r="C56" s="44"/>
      <c r="D56" s="44"/>
      <c r="E56" s="45"/>
      <c r="F56" s="77"/>
      <c r="G56" s="44"/>
      <c r="H56" s="44"/>
      <c r="I56" s="44"/>
      <c r="J56" s="44"/>
      <c r="K56" s="77"/>
      <c r="L56" s="44"/>
      <c r="M56" s="44"/>
      <c r="N56" s="44"/>
      <c r="O56" s="44"/>
      <c r="P56" s="75"/>
      <c r="Q56" s="76"/>
    </row>
    <row r="57" spans="1:17" ht="12.75" customHeight="1">
      <c r="A57" s="33" t="s">
        <v>144</v>
      </c>
      <c r="B57" s="17">
        <f t="shared" ref="B57:K57" si="27">+B58+B62</f>
        <v>21978</v>
      </c>
      <c r="C57" s="17">
        <f t="shared" si="27"/>
        <v>18538</v>
      </c>
      <c r="D57" s="17">
        <f t="shared" si="27"/>
        <v>0</v>
      </c>
      <c r="E57" s="17">
        <f t="shared" si="27"/>
        <v>472</v>
      </c>
      <c r="F57" s="17">
        <f t="shared" si="27"/>
        <v>40988</v>
      </c>
      <c r="G57" s="17">
        <f t="shared" si="27"/>
        <v>21943</v>
      </c>
      <c r="H57" s="17">
        <f t="shared" si="27"/>
        <v>18436</v>
      </c>
      <c r="I57" s="17">
        <f t="shared" si="27"/>
        <v>0</v>
      </c>
      <c r="J57" s="17">
        <f t="shared" si="27"/>
        <v>470</v>
      </c>
      <c r="K57" s="17">
        <f t="shared" si="27"/>
        <v>40849</v>
      </c>
      <c r="L57" s="17">
        <f>+L58+L62</f>
        <v>35</v>
      </c>
      <c r="M57" s="17">
        <f>+M58+M62</f>
        <v>102</v>
      </c>
      <c r="N57" s="17"/>
      <c r="O57" s="17">
        <f>+O58+O62</f>
        <v>2</v>
      </c>
      <c r="P57" s="17">
        <f>+P58+P62</f>
        <v>139</v>
      </c>
      <c r="Q57" s="18">
        <f>+K57/F57</f>
        <v>0.9966087635405485</v>
      </c>
    </row>
    <row r="58" spans="1:17" ht="12.75" customHeight="1">
      <c r="A58" s="41" t="s">
        <v>15</v>
      </c>
      <c r="B58" s="20">
        <f t="shared" ref="B58:K58" si="28">+B59+B60+B61</f>
        <v>21978</v>
      </c>
      <c r="C58" s="20">
        <f t="shared" si="28"/>
        <v>18397</v>
      </c>
      <c r="D58" s="20">
        <f t="shared" si="28"/>
        <v>0</v>
      </c>
      <c r="E58" s="20">
        <f t="shared" si="28"/>
        <v>472</v>
      </c>
      <c r="F58" s="20">
        <f t="shared" si="28"/>
        <v>40847</v>
      </c>
      <c r="G58" s="20">
        <f t="shared" si="28"/>
        <v>21943</v>
      </c>
      <c r="H58" s="20">
        <f t="shared" si="28"/>
        <v>18295</v>
      </c>
      <c r="I58" s="20">
        <f t="shared" si="28"/>
        <v>0</v>
      </c>
      <c r="J58" s="20">
        <f t="shared" si="28"/>
        <v>470</v>
      </c>
      <c r="K58" s="20">
        <f t="shared" si="28"/>
        <v>40708</v>
      </c>
      <c r="L58" s="20">
        <f>+L59+L60+L61</f>
        <v>35</v>
      </c>
      <c r="M58" s="20">
        <f>+M59+M60+M61</f>
        <v>102</v>
      </c>
      <c r="N58" s="20"/>
      <c r="O58" s="20">
        <f>+O59+O60+O61</f>
        <v>2</v>
      </c>
      <c r="P58" s="21">
        <f>+P59+P60+P61</f>
        <v>139</v>
      </c>
      <c r="Q58" s="18"/>
    </row>
    <row r="59" spans="1:17" ht="12.75" customHeight="1">
      <c r="A59" s="22" t="s">
        <v>16</v>
      </c>
      <c r="B59" s="29">
        <v>17477</v>
      </c>
      <c r="C59" s="29">
        <v>18397</v>
      </c>
      <c r="D59" s="29"/>
      <c r="E59" s="30">
        <v>472</v>
      </c>
      <c r="F59" s="24">
        <f>SUM(B59:E59)</f>
        <v>36346</v>
      </c>
      <c r="G59" s="29">
        <v>17475</v>
      </c>
      <c r="H59" s="29">
        <v>18295</v>
      </c>
      <c r="I59" s="29"/>
      <c r="J59" s="29">
        <v>470</v>
      </c>
      <c r="K59" s="24">
        <f>SUM(G59:J59)</f>
        <v>36240</v>
      </c>
      <c r="L59" s="25">
        <f t="shared" ref="L59:M61" si="29">+B59-G59</f>
        <v>2</v>
      </c>
      <c r="M59" s="25">
        <f t="shared" si="29"/>
        <v>102</v>
      </c>
      <c r="N59" s="25"/>
      <c r="O59" s="25">
        <f>+E59-J59</f>
        <v>2</v>
      </c>
      <c r="P59" s="26">
        <f>SUM(L59:O59)</f>
        <v>106</v>
      </c>
      <c r="Q59" s="18"/>
    </row>
    <row r="60" spans="1:17" ht="12.75" customHeight="1">
      <c r="A60" s="22" t="s">
        <v>17</v>
      </c>
      <c r="B60" s="29">
        <v>2751</v>
      </c>
      <c r="C60" s="34"/>
      <c r="D60" s="34"/>
      <c r="E60" s="30"/>
      <c r="F60" s="24">
        <f>SUM(B60:E60)</f>
        <v>2751</v>
      </c>
      <c r="G60" s="29">
        <v>2751</v>
      </c>
      <c r="H60" s="34"/>
      <c r="I60" s="34"/>
      <c r="J60" s="34"/>
      <c r="K60" s="24">
        <f>SUM(G60:J60)</f>
        <v>2751</v>
      </c>
      <c r="L60" s="25">
        <f t="shared" si="29"/>
        <v>0</v>
      </c>
      <c r="M60" s="25">
        <f t="shared" si="29"/>
        <v>0</v>
      </c>
      <c r="N60" s="25"/>
      <c r="O60" s="25">
        <f>+E60-J60</f>
        <v>0</v>
      </c>
      <c r="P60" s="26">
        <f>SUM(L60:O60)</f>
        <v>0</v>
      </c>
      <c r="Q60" s="18"/>
    </row>
    <row r="61" spans="1:17" ht="12.75" customHeight="1">
      <c r="A61" s="22" t="s">
        <v>18</v>
      </c>
      <c r="B61" s="29">
        <v>1750</v>
      </c>
      <c r="C61" s="34"/>
      <c r="D61" s="34"/>
      <c r="E61" s="35"/>
      <c r="F61" s="24">
        <f>SUM(B61:E61)</f>
        <v>1750</v>
      </c>
      <c r="G61" s="29">
        <v>1717</v>
      </c>
      <c r="H61" s="34"/>
      <c r="I61" s="34"/>
      <c r="J61" s="34"/>
      <c r="K61" s="24">
        <f>SUM(G61:J61)</f>
        <v>1717</v>
      </c>
      <c r="L61" s="25">
        <f t="shared" si="29"/>
        <v>33</v>
      </c>
      <c r="M61" s="25">
        <f t="shared" si="29"/>
        <v>0</v>
      </c>
      <c r="N61" s="25"/>
      <c r="O61" s="25">
        <f>+E61-J61</f>
        <v>0</v>
      </c>
      <c r="P61" s="26">
        <f>SUM(L61:O61)</f>
        <v>33</v>
      </c>
      <c r="Q61" s="18"/>
    </row>
    <row r="62" spans="1:17" ht="12.75" customHeight="1">
      <c r="A62" s="22" t="s">
        <v>19</v>
      </c>
      <c r="B62" s="27">
        <f t="shared" ref="B62:K62" si="30">+B63+B64</f>
        <v>0</v>
      </c>
      <c r="C62" s="27">
        <f t="shared" si="30"/>
        <v>141</v>
      </c>
      <c r="D62" s="27">
        <f t="shared" si="30"/>
        <v>0</v>
      </c>
      <c r="E62" s="27">
        <f t="shared" si="30"/>
        <v>0</v>
      </c>
      <c r="F62" s="27">
        <f t="shared" si="30"/>
        <v>141</v>
      </c>
      <c r="G62" s="27">
        <f t="shared" si="30"/>
        <v>0</v>
      </c>
      <c r="H62" s="27">
        <f t="shared" si="30"/>
        <v>141</v>
      </c>
      <c r="I62" s="27">
        <f t="shared" si="30"/>
        <v>0</v>
      </c>
      <c r="J62" s="27">
        <f t="shared" si="30"/>
        <v>0</v>
      </c>
      <c r="K62" s="27">
        <f t="shared" si="30"/>
        <v>141</v>
      </c>
      <c r="L62" s="27">
        <f>+L63+L64</f>
        <v>0</v>
      </c>
      <c r="M62" s="27">
        <f>+M63+M64</f>
        <v>0</v>
      </c>
      <c r="N62" s="27"/>
      <c r="O62" s="27">
        <f>+O63+O64</f>
        <v>0</v>
      </c>
      <c r="P62" s="28">
        <f>+P63+P64</f>
        <v>0</v>
      </c>
      <c r="Q62" s="18"/>
    </row>
    <row r="63" spans="1:17" ht="12.75" customHeight="1">
      <c r="A63" s="23" t="s">
        <v>20</v>
      </c>
      <c r="B63" s="29"/>
      <c r="C63" s="29">
        <v>141</v>
      </c>
      <c r="D63" s="29"/>
      <c r="E63" s="30"/>
      <c r="F63" s="24">
        <f>SUM(B63:E63)</f>
        <v>141</v>
      </c>
      <c r="G63" s="29"/>
      <c r="H63" s="29">
        <v>141</v>
      </c>
      <c r="I63" s="29"/>
      <c r="J63" s="29"/>
      <c r="K63" s="24">
        <f>SUM(G63:J63)</f>
        <v>141</v>
      </c>
      <c r="L63" s="25">
        <f>+B63-G63</f>
        <v>0</v>
      </c>
      <c r="M63" s="25">
        <f>+C63-H63</f>
        <v>0</v>
      </c>
      <c r="N63" s="25"/>
      <c r="O63" s="25">
        <f>+E63-J63</f>
        <v>0</v>
      </c>
      <c r="P63" s="26">
        <f>SUM(L63:O63)</f>
        <v>0</v>
      </c>
      <c r="Q63" s="18"/>
    </row>
    <row r="64" spans="1:17" ht="12.75" customHeight="1">
      <c r="A64" s="23" t="s">
        <v>21</v>
      </c>
      <c r="B64" s="29"/>
      <c r="C64" s="29"/>
      <c r="D64" s="29"/>
      <c r="E64" s="30"/>
      <c r="F64" s="24">
        <f>SUM(B64:E64)</f>
        <v>0</v>
      </c>
      <c r="G64" s="29"/>
      <c r="H64" s="29"/>
      <c r="I64" s="29"/>
      <c r="J64" s="29"/>
      <c r="K64" s="24">
        <f>SUM(G64:J64)</f>
        <v>0</v>
      </c>
      <c r="L64" s="25">
        <f>+B64-G64</f>
        <v>0</v>
      </c>
      <c r="M64" s="25">
        <f>+C64-H64</f>
        <v>0</v>
      </c>
      <c r="N64" s="25"/>
      <c r="O64" s="25">
        <f>+E64-J64</f>
        <v>0</v>
      </c>
      <c r="P64" s="26">
        <f>SUM(L64:O64)</f>
        <v>0</v>
      </c>
      <c r="Q64" s="18"/>
    </row>
    <row r="65" spans="1:17" ht="12.75" customHeight="1">
      <c r="A65" s="33"/>
      <c r="B65" s="25"/>
      <c r="C65" s="25"/>
      <c r="D65" s="25"/>
      <c r="E65" s="43"/>
      <c r="F65" s="24"/>
      <c r="G65" s="47"/>
      <c r="H65" s="47"/>
      <c r="I65" s="47"/>
      <c r="J65" s="47"/>
      <c r="K65" s="32"/>
      <c r="L65" s="25"/>
      <c r="M65" s="25"/>
      <c r="N65" s="25"/>
      <c r="O65" s="25"/>
      <c r="P65" s="26"/>
      <c r="Q65" s="18"/>
    </row>
    <row r="66" spans="1:17" ht="12.75" customHeight="1">
      <c r="A66" s="33" t="s">
        <v>145</v>
      </c>
      <c r="B66" s="17">
        <f t="shared" ref="B66:K66" si="31">+B67+B71</f>
        <v>22641</v>
      </c>
      <c r="C66" s="17">
        <f t="shared" si="31"/>
        <v>53910</v>
      </c>
      <c r="D66" s="17">
        <f t="shared" si="31"/>
        <v>15</v>
      </c>
      <c r="E66" s="17">
        <f t="shared" si="31"/>
        <v>0</v>
      </c>
      <c r="F66" s="17">
        <f t="shared" si="31"/>
        <v>76566</v>
      </c>
      <c r="G66" s="17">
        <f t="shared" si="31"/>
        <v>22641</v>
      </c>
      <c r="H66" s="17">
        <f t="shared" si="31"/>
        <v>48893</v>
      </c>
      <c r="I66" s="17">
        <f t="shared" si="31"/>
        <v>7</v>
      </c>
      <c r="J66" s="17">
        <f t="shared" si="31"/>
        <v>0</v>
      </c>
      <c r="K66" s="17">
        <f t="shared" si="31"/>
        <v>71541</v>
      </c>
      <c r="L66" s="17">
        <f>+L67+L71</f>
        <v>0</v>
      </c>
      <c r="M66" s="17">
        <f>+M67+M71</f>
        <v>5017</v>
      </c>
      <c r="N66" s="17">
        <f>+N67+N71</f>
        <v>8</v>
      </c>
      <c r="O66" s="17">
        <f>+O67+O71</f>
        <v>0</v>
      </c>
      <c r="P66" s="17">
        <f>+P67+P71</f>
        <v>5025</v>
      </c>
      <c r="Q66" s="18">
        <f>+K66/F66</f>
        <v>0.93437034715147715</v>
      </c>
    </row>
    <row r="67" spans="1:17" ht="12.75" customHeight="1">
      <c r="A67" s="41" t="s">
        <v>15</v>
      </c>
      <c r="B67" s="20">
        <f t="shared" ref="B67:K67" si="32">+B68+B69+B70</f>
        <v>22641</v>
      </c>
      <c r="C67" s="20">
        <f t="shared" si="32"/>
        <v>53910</v>
      </c>
      <c r="D67" s="20">
        <f t="shared" si="32"/>
        <v>15</v>
      </c>
      <c r="E67" s="20">
        <f t="shared" si="32"/>
        <v>0</v>
      </c>
      <c r="F67" s="20">
        <f t="shared" si="32"/>
        <v>76566</v>
      </c>
      <c r="G67" s="20">
        <f t="shared" si="32"/>
        <v>22641</v>
      </c>
      <c r="H67" s="20">
        <f t="shared" si="32"/>
        <v>48893</v>
      </c>
      <c r="I67" s="20">
        <f t="shared" si="32"/>
        <v>7</v>
      </c>
      <c r="J67" s="20">
        <f t="shared" si="32"/>
        <v>0</v>
      </c>
      <c r="K67" s="20">
        <f t="shared" si="32"/>
        <v>71541</v>
      </c>
      <c r="L67" s="20">
        <f t="shared" ref="L67:P67" si="33">+L68+L69+L70</f>
        <v>0</v>
      </c>
      <c r="M67" s="20">
        <f t="shared" si="33"/>
        <v>5017</v>
      </c>
      <c r="N67" s="20">
        <f t="shared" si="33"/>
        <v>8</v>
      </c>
      <c r="O67" s="20">
        <f t="shared" si="33"/>
        <v>0</v>
      </c>
      <c r="P67" s="21">
        <f t="shared" si="33"/>
        <v>5025</v>
      </c>
      <c r="Q67" s="18"/>
    </row>
    <row r="68" spans="1:17" ht="12.75" customHeight="1">
      <c r="A68" s="22" t="s">
        <v>16</v>
      </c>
      <c r="B68" s="29">
        <v>20579</v>
      </c>
      <c r="C68" s="29">
        <v>53910</v>
      </c>
      <c r="D68" s="29">
        <v>15</v>
      </c>
      <c r="E68" s="30"/>
      <c r="F68" s="24">
        <f>SUM(B68:E68)</f>
        <v>74504</v>
      </c>
      <c r="G68" s="29">
        <v>20579</v>
      </c>
      <c r="H68" s="29">
        <v>48893</v>
      </c>
      <c r="I68" s="29">
        <v>7</v>
      </c>
      <c r="J68" s="29"/>
      <c r="K68" s="24">
        <f>SUM(G68:J68)</f>
        <v>69479</v>
      </c>
      <c r="L68" s="25">
        <f t="shared" ref="L68:N70" si="34">+B68-G68</f>
        <v>0</v>
      </c>
      <c r="M68" s="25">
        <f t="shared" si="34"/>
        <v>5017</v>
      </c>
      <c r="N68" s="25">
        <f t="shared" si="34"/>
        <v>8</v>
      </c>
      <c r="O68" s="25">
        <f>+E68-J68</f>
        <v>0</v>
      </c>
      <c r="P68" s="26">
        <f>SUM(L68:O68)</f>
        <v>5025</v>
      </c>
      <c r="Q68" s="18"/>
    </row>
    <row r="69" spans="1:17" ht="12.75" customHeight="1">
      <c r="A69" s="22" t="s">
        <v>17</v>
      </c>
      <c r="B69" s="29">
        <v>200</v>
      </c>
      <c r="C69" s="34"/>
      <c r="D69" s="34"/>
      <c r="E69" s="30"/>
      <c r="F69" s="24">
        <f>SUM(B69:E69)</f>
        <v>200</v>
      </c>
      <c r="G69" s="29">
        <v>200</v>
      </c>
      <c r="H69" s="34"/>
      <c r="I69" s="34"/>
      <c r="J69" s="34"/>
      <c r="K69" s="24">
        <f>SUM(G69:J69)</f>
        <v>200</v>
      </c>
      <c r="L69" s="25">
        <f t="shared" si="34"/>
        <v>0</v>
      </c>
      <c r="M69" s="25">
        <f t="shared" si="34"/>
        <v>0</v>
      </c>
      <c r="N69" s="25"/>
      <c r="O69" s="25">
        <f>+E69-J69</f>
        <v>0</v>
      </c>
      <c r="P69" s="26">
        <f>SUM(L69:O69)</f>
        <v>0</v>
      </c>
      <c r="Q69" s="18"/>
    </row>
    <row r="70" spans="1:17" ht="12.75" customHeight="1">
      <c r="A70" s="22" t="s">
        <v>18</v>
      </c>
      <c r="B70" s="29">
        <v>1862</v>
      </c>
      <c r="C70" s="34"/>
      <c r="D70" s="34"/>
      <c r="E70" s="35"/>
      <c r="F70" s="24">
        <f>SUM(B70:E70)</f>
        <v>1862</v>
      </c>
      <c r="G70" s="29">
        <v>1862</v>
      </c>
      <c r="H70" s="34"/>
      <c r="I70" s="34"/>
      <c r="J70" s="34"/>
      <c r="K70" s="24">
        <f>SUM(G70:J70)</f>
        <v>1862</v>
      </c>
      <c r="L70" s="25">
        <f t="shared" si="34"/>
        <v>0</v>
      </c>
      <c r="M70" s="25">
        <f t="shared" si="34"/>
        <v>0</v>
      </c>
      <c r="N70" s="25"/>
      <c r="O70" s="25">
        <f>+E70-J70</f>
        <v>0</v>
      </c>
      <c r="P70" s="26">
        <f>SUM(L70:O70)</f>
        <v>0</v>
      </c>
      <c r="Q70" s="18"/>
    </row>
    <row r="71" spans="1:17" ht="12.75" customHeight="1">
      <c r="A71" s="22" t="s">
        <v>19</v>
      </c>
      <c r="B71" s="27">
        <f t="shared" ref="B71:K71" si="35">+B72+B73</f>
        <v>0</v>
      </c>
      <c r="C71" s="27">
        <f t="shared" si="35"/>
        <v>0</v>
      </c>
      <c r="D71" s="27">
        <f t="shared" si="35"/>
        <v>0</v>
      </c>
      <c r="E71" s="27">
        <f t="shared" si="35"/>
        <v>0</v>
      </c>
      <c r="F71" s="27">
        <f t="shared" si="35"/>
        <v>0</v>
      </c>
      <c r="G71" s="27">
        <f t="shared" si="35"/>
        <v>0</v>
      </c>
      <c r="H71" s="27">
        <f t="shared" si="35"/>
        <v>0</v>
      </c>
      <c r="I71" s="27">
        <f t="shared" si="35"/>
        <v>0</v>
      </c>
      <c r="J71" s="27">
        <f t="shared" si="35"/>
        <v>0</v>
      </c>
      <c r="K71" s="27">
        <f t="shared" si="35"/>
        <v>0</v>
      </c>
      <c r="L71" s="27">
        <f>+L72+L73</f>
        <v>0</v>
      </c>
      <c r="M71" s="27">
        <f>+M72+M73</f>
        <v>0</v>
      </c>
      <c r="N71" s="27"/>
      <c r="O71" s="27">
        <f>+O72+O73</f>
        <v>0</v>
      </c>
      <c r="P71" s="28">
        <f>+P72+P73</f>
        <v>0</v>
      </c>
      <c r="Q71" s="18"/>
    </row>
    <row r="72" spans="1:17" ht="12.75" customHeight="1">
      <c r="A72" s="23" t="s">
        <v>20</v>
      </c>
      <c r="B72" s="29"/>
      <c r="C72" s="29"/>
      <c r="D72" s="29"/>
      <c r="E72" s="30"/>
      <c r="F72" s="24">
        <f>SUM(B72:E72)</f>
        <v>0</v>
      </c>
      <c r="G72" s="29"/>
      <c r="H72" s="29"/>
      <c r="I72" s="29"/>
      <c r="J72" s="29"/>
      <c r="K72" s="24">
        <f>SUM(G72:J72)</f>
        <v>0</v>
      </c>
      <c r="L72" s="25">
        <f>+B72-G72</f>
        <v>0</v>
      </c>
      <c r="M72" s="25">
        <f>+C72-H72</f>
        <v>0</v>
      </c>
      <c r="N72" s="25"/>
      <c r="O72" s="25">
        <f>+E72-J72</f>
        <v>0</v>
      </c>
      <c r="P72" s="26">
        <f>SUM(L72:O72)</f>
        <v>0</v>
      </c>
      <c r="Q72" s="18"/>
    </row>
    <row r="73" spans="1:17" ht="12.75" customHeight="1">
      <c r="A73" s="23" t="s">
        <v>21</v>
      </c>
      <c r="B73" s="29"/>
      <c r="C73" s="29"/>
      <c r="D73" s="29"/>
      <c r="E73" s="30"/>
      <c r="F73" s="24">
        <f>SUM(B73:E73)</f>
        <v>0</v>
      </c>
      <c r="G73" s="29"/>
      <c r="H73" s="29"/>
      <c r="I73" s="29"/>
      <c r="J73" s="29"/>
      <c r="K73" s="24">
        <f>SUM(G73:J73)</f>
        <v>0</v>
      </c>
      <c r="L73" s="25">
        <f>+B73-G73</f>
        <v>0</v>
      </c>
      <c r="M73" s="25">
        <f>+C73-H73</f>
        <v>0</v>
      </c>
      <c r="N73" s="25"/>
      <c r="O73" s="25">
        <f>+E73-J73</f>
        <v>0</v>
      </c>
      <c r="P73" s="26">
        <f>SUM(L73:O73)</f>
        <v>0</v>
      </c>
      <c r="Q73" s="18"/>
    </row>
    <row r="74" spans="1:17" ht="12.75" customHeight="1">
      <c r="A74" s="65"/>
      <c r="B74" s="44"/>
      <c r="C74" s="44"/>
      <c r="D74" s="44"/>
      <c r="E74" s="45"/>
      <c r="F74" s="77"/>
      <c r="G74" s="84"/>
      <c r="H74" s="84"/>
      <c r="I74" s="84"/>
      <c r="J74" s="84"/>
      <c r="K74" s="82"/>
      <c r="L74" s="44"/>
      <c r="M74" s="44"/>
      <c r="N74" s="44"/>
      <c r="O74" s="44"/>
      <c r="P74" s="75"/>
      <c r="Q74" s="76"/>
    </row>
    <row r="75" spans="1:17">
      <c r="A75" s="80"/>
    </row>
    <row r="76" spans="1:17">
      <c r="A76" s="80"/>
    </row>
    <row r="77" spans="1:17">
      <c r="A77" s="80"/>
    </row>
    <row r="78" spans="1:17">
      <c r="A78" s="80"/>
    </row>
    <row r="79" spans="1:17">
      <c r="A79" s="80"/>
    </row>
    <row r="80" spans="1:17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  <row r="1128" spans="1:1">
      <c r="A1128" s="80"/>
    </row>
    <row r="1129" spans="1:1">
      <c r="A1129" s="80"/>
    </row>
    <row r="1130" spans="1:1">
      <c r="A1130" s="80"/>
    </row>
    <row r="1131" spans="1:1">
      <c r="A1131" s="80"/>
    </row>
    <row r="1132" spans="1:1">
      <c r="A1132" s="80"/>
    </row>
    <row r="1133" spans="1:1">
      <c r="A1133" s="80"/>
    </row>
    <row r="1134" spans="1:1">
      <c r="A1134" s="80"/>
    </row>
    <row r="1135" spans="1:1">
      <c r="A1135" s="80"/>
    </row>
    <row r="1136" spans="1:1">
      <c r="A1136" s="80"/>
    </row>
    <row r="1137" spans="1:1">
      <c r="A1137" s="80"/>
    </row>
    <row r="1138" spans="1:1">
      <c r="A1138" s="80"/>
    </row>
    <row r="1139" spans="1:1">
      <c r="A1139" s="80"/>
    </row>
    <row r="1140" spans="1:1">
      <c r="A1140" s="80"/>
    </row>
    <row r="1141" spans="1:1">
      <c r="A1141" s="80"/>
    </row>
    <row r="1142" spans="1:1">
      <c r="A1142" s="80"/>
    </row>
    <row r="1143" spans="1:1">
      <c r="A1143" s="80"/>
    </row>
    <row r="1144" spans="1:1">
      <c r="A1144" s="80"/>
    </row>
    <row r="1145" spans="1:1">
      <c r="A1145" s="80"/>
    </row>
    <row r="1146" spans="1:1">
      <c r="A1146" s="80"/>
    </row>
    <row r="1147" spans="1:1">
      <c r="A1147" s="80"/>
    </row>
    <row r="1148" spans="1:1">
      <c r="A1148" s="80"/>
    </row>
    <row r="1149" spans="1:1">
      <c r="A1149" s="80"/>
    </row>
    <row r="1150" spans="1:1">
      <c r="A1150" s="80"/>
    </row>
    <row r="1151" spans="1:1">
      <c r="A1151" s="80"/>
    </row>
    <row r="1152" spans="1:1">
      <c r="A1152" s="80"/>
    </row>
    <row r="1153" spans="1:1">
      <c r="A1153" s="80"/>
    </row>
    <row r="1154" spans="1:1">
      <c r="A1154" s="80"/>
    </row>
    <row r="1155" spans="1:1">
      <c r="A1155" s="80"/>
    </row>
    <row r="1156" spans="1:1">
      <c r="A1156" s="80"/>
    </row>
    <row r="1157" spans="1:1">
      <c r="A1157" s="80"/>
    </row>
    <row r="1158" spans="1:1">
      <c r="A1158" s="80"/>
    </row>
    <row r="1159" spans="1:1">
      <c r="A1159" s="80"/>
    </row>
    <row r="1160" spans="1:1">
      <c r="A1160" s="80"/>
    </row>
    <row r="1161" spans="1:1">
      <c r="A1161" s="80"/>
    </row>
    <row r="1162" spans="1:1">
      <c r="A1162" s="80"/>
    </row>
    <row r="1163" spans="1:1">
      <c r="A1163" s="80"/>
    </row>
    <row r="1164" spans="1:1">
      <c r="A1164" s="80"/>
    </row>
    <row r="1165" spans="1:1">
      <c r="A1165" s="80"/>
    </row>
    <row r="1166" spans="1:1">
      <c r="A1166" s="80"/>
    </row>
    <row r="1167" spans="1:1">
      <c r="A1167" s="80"/>
    </row>
    <row r="1168" spans="1:1">
      <c r="A1168" s="80"/>
    </row>
    <row r="1169" spans="1:1">
      <c r="A1169" s="80"/>
    </row>
    <row r="1170" spans="1:1">
      <c r="A1170" s="80"/>
    </row>
    <row r="1171" spans="1:1">
      <c r="A1171" s="80"/>
    </row>
    <row r="1172" spans="1:1">
      <c r="A1172" s="80"/>
    </row>
    <row r="1173" spans="1:1">
      <c r="A1173" s="80"/>
    </row>
    <row r="1174" spans="1:1">
      <c r="A1174" s="80"/>
    </row>
    <row r="1175" spans="1:1">
      <c r="A1175" s="80"/>
    </row>
    <row r="1176" spans="1:1">
      <c r="A1176" s="80"/>
    </row>
    <row r="1177" spans="1:1">
      <c r="A1177" s="80"/>
    </row>
    <row r="1178" spans="1:1">
      <c r="A1178" s="80"/>
    </row>
    <row r="1179" spans="1:1">
      <c r="A1179" s="80"/>
    </row>
    <row r="1180" spans="1:1">
      <c r="A1180" s="80"/>
    </row>
    <row r="1181" spans="1:1">
      <c r="A1181" s="80"/>
    </row>
    <row r="1182" spans="1:1">
      <c r="A1182" s="80"/>
    </row>
    <row r="1183" spans="1:1">
      <c r="A1183" s="80"/>
    </row>
    <row r="1184" spans="1:1">
      <c r="A1184" s="80"/>
    </row>
    <row r="1185" spans="1:1">
      <c r="A1185" s="80"/>
    </row>
    <row r="1186" spans="1:1">
      <c r="A1186" s="80"/>
    </row>
    <row r="1187" spans="1:1">
      <c r="A1187" s="80"/>
    </row>
    <row r="1188" spans="1:1">
      <c r="A1188" s="80"/>
    </row>
    <row r="1189" spans="1:1">
      <c r="A1189" s="80"/>
    </row>
    <row r="1190" spans="1:1">
      <c r="A1190" s="80"/>
    </row>
    <row r="1191" spans="1:1">
      <c r="A1191" s="80"/>
    </row>
    <row r="1192" spans="1:1">
      <c r="A1192" s="80"/>
    </row>
    <row r="1193" spans="1:1">
      <c r="A1193" s="80"/>
    </row>
    <row r="1194" spans="1:1">
      <c r="A1194" s="80"/>
    </row>
    <row r="1195" spans="1:1">
      <c r="A1195" s="80"/>
    </row>
    <row r="1196" spans="1:1">
      <c r="A1196" s="80"/>
    </row>
    <row r="1197" spans="1:1">
      <c r="A1197" s="80"/>
    </row>
    <row r="1198" spans="1:1">
      <c r="A1198" s="80"/>
    </row>
    <row r="1199" spans="1:1">
      <c r="A1199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1" fitToWidth="0" fitToHeight="0" orientation="landscape" r:id="rId1"/>
  <headerFooter alignWithMargins="0">
    <oddFooter>Page &amp;P of &amp;N</oddFooter>
  </headerFooter>
  <rowBreaks count="1" manualBreakCount="1">
    <brk id="56" max="1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R1127"/>
  <sheetViews>
    <sheetView showRuler="0" zoomScaleSheetLayoutView="100" workbookViewId="0">
      <pane xSplit="1" ySplit="8" topLeftCell="B51" activePane="bottomRight" state="frozen"/>
      <selection activeCell="A155" sqref="A155:Q155"/>
      <selection pane="topRight" activeCell="A155" sqref="A155:Q155"/>
      <selection pane="bottomLeft" activeCell="A155" sqref="A155:Q155"/>
      <selection pane="bottomRight" activeCell="A155" sqref="A155:Q155"/>
    </sheetView>
  </sheetViews>
  <sheetFormatPr defaultRowHeight="12.75"/>
  <cols>
    <col min="1" max="1" width="36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2.7109375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1" t="s">
        <v>146</v>
      </c>
      <c r="B10" s="17">
        <f t="shared" ref="B10:P10" si="0">+B11+B15+B16</f>
        <v>5912661</v>
      </c>
      <c r="C10" s="17">
        <f t="shared" si="0"/>
        <v>18766549</v>
      </c>
      <c r="D10" s="17"/>
      <c r="E10" s="17">
        <f t="shared" si="0"/>
        <v>33365257</v>
      </c>
      <c r="F10" s="17">
        <f t="shared" si="0"/>
        <v>58044467</v>
      </c>
      <c r="G10" s="17">
        <f t="shared" si="0"/>
        <v>5839138</v>
      </c>
      <c r="H10" s="17">
        <f t="shared" si="0"/>
        <v>14691898</v>
      </c>
      <c r="I10" s="17"/>
      <c r="J10" s="17">
        <f t="shared" si="0"/>
        <v>13224346</v>
      </c>
      <c r="K10" s="17">
        <f t="shared" si="0"/>
        <v>33755382</v>
      </c>
      <c r="L10" s="17">
        <f t="shared" si="0"/>
        <v>73523</v>
      </c>
      <c r="M10" s="17">
        <f t="shared" si="0"/>
        <v>4074651</v>
      </c>
      <c r="N10" s="17"/>
      <c r="O10" s="17">
        <f t="shared" si="0"/>
        <v>20140911</v>
      </c>
      <c r="P10" s="17">
        <f t="shared" si="0"/>
        <v>24289085</v>
      </c>
      <c r="Q10" s="18">
        <f>+K10/F10</f>
        <v>0.5815434914752512</v>
      </c>
    </row>
    <row r="11" spans="1:18" ht="12.75" customHeight="1">
      <c r="A11" s="41" t="s">
        <v>15</v>
      </c>
      <c r="B11" s="20">
        <f t="shared" ref="B11:P11" si="1">+B12+B13+B14</f>
        <v>5912661</v>
      </c>
      <c r="C11" s="20">
        <f t="shared" si="1"/>
        <v>17478674</v>
      </c>
      <c r="D11" s="20"/>
      <c r="E11" s="20">
        <f t="shared" si="1"/>
        <v>27126450</v>
      </c>
      <c r="F11" s="20">
        <f t="shared" si="1"/>
        <v>50517785</v>
      </c>
      <c r="G11" s="20">
        <f t="shared" si="1"/>
        <v>5839138</v>
      </c>
      <c r="H11" s="20">
        <f t="shared" si="1"/>
        <v>14247180</v>
      </c>
      <c r="I11" s="20"/>
      <c r="J11" s="20">
        <f t="shared" si="1"/>
        <v>10882818</v>
      </c>
      <c r="K11" s="20">
        <f t="shared" si="1"/>
        <v>30969136</v>
      </c>
      <c r="L11" s="20">
        <f t="shared" si="1"/>
        <v>73523</v>
      </c>
      <c r="M11" s="20">
        <f t="shared" si="1"/>
        <v>3231494</v>
      </c>
      <c r="N11" s="20"/>
      <c r="O11" s="20">
        <f t="shared" si="1"/>
        <v>16243632</v>
      </c>
      <c r="P11" s="21">
        <f t="shared" si="1"/>
        <v>19548649</v>
      </c>
      <c r="Q11" s="18"/>
    </row>
    <row r="12" spans="1:18" ht="12.75" customHeight="1">
      <c r="A12" s="22" t="s">
        <v>16</v>
      </c>
      <c r="B12" s="23">
        <f t="shared" ref="B12:E14" si="2">+B22+B32+B41+B51+B60+B78+B69</f>
        <v>3987914</v>
      </c>
      <c r="C12" s="23">
        <f t="shared" si="2"/>
        <v>14412400</v>
      </c>
      <c r="D12" s="23"/>
      <c r="E12" s="23">
        <f t="shared" si="2"/>
        <v>27060992</v>
      </c>
      <c r="F12" s="24">
        <f>SUM(B12:E12)</f>
        <v>45461306</v>
      </c>
      <c r="G12" s="23">
        <f t="shared" ref="G12:J14" si="3">G22+G32+G41+G51+G60+G69+G78</f>
        <v>3945294</v>
      </c>
      <c r="H12" s="23">
        <f t="shared" si="3"/>
        <v>11411781</v>
      </c>
      <c r="I12" s="23"/>
      <c r="J12" s="23">
        <f t="shared" si="3"/>
        <v>10856738</v>
      </c>
      <c r="K12" s="24">
        <f>SUM(G12:J12)</f>
        <v>26213813</v>
      </c>
      <c r="L12" s="25">
        <f t="shared" ref="L12:M14" si="4">+B12-G12</f>
        <v>42620</v>
      </c>
      <c r="M12" s="25">
        <f t="shared" si="4"/>
        <v>3000619</v>
      </c>
      <c r="N12" s="25"/>
      <c r="O12" s="25">
        <f>+E12-J12</f>
        <v>16204254</v>
      </c>
      <c r="P12" s="26">
        <f>SUM(L12:O12)</f>
        <v>19247493</v>
      </c>
      <c r="Q12" s="18"/>
    </row>
    <row r="13" spans="1:18" ht="12.75" customHeight="1">
      <c r="A13" s="22" t="s">
        <v>17</v>
      </c>
      <c r="B13" s="23">
        <f t="shared" si="2"/>
        <v>1411833</v>
      </c>
      <c r="C13" s="23">
        <f t="shared" si="2"/>
        <v>6260</v>
      </c>
      <c r="D13" s="23"/>
      <c r="E13" s="23">
        <f t="shared" si="2"/>
        <v>0</v>
      </c>
      <c r="F13" s="24">
        <f>SUM(B13:E13)</f>
        <v>1418093</v>
      </c>
      <c r="G13" s="23">
        <f t="shared" si="3"/>
        <v>1387543</v>
      </c>
      <c r="H13" s="23">
        <f t="shared" si="3"/>
        <v>430</v>
      </c>
      <c r="I13" s="23"/>
      <c r="J13" s="23">
        <f t="shared" si="3"/>
        <v>0</v>
      </c>
      <c r="K13" s="24">
        <f>SUM(G13:J13)</f>
        <v>1387973</v>
      </c>
      <c r="L13" s="25">
        <f t="shared" si="4"/>
        <v>24290</v>
      </c>
      <c r="M13" s="25">
        <f t="shared" si="4"/>
        <v>5830</v>
      </c>
      <c r="N13" s="25"/>
      <c r="O13" s="25">
        <f>+E13-J13</f>
        <v>0</v>
      </c>
      <c r="P13" s="26">
        <f>SUM(L13:O13)</f>
        <v>30120</v>
      </c>
      <c r="Q13" s="18"/>
    </row>
    <row r="14" spans="1:18" ht="12.75" customHeight="1">
      <c r="A14" s="22" t="s">
        <v>18</v>
      </c>
      <c r="B14" s="23">
        <f t="shared" si="2"/>
        <v>512914</v>
      </c>
      <c r="C14" s="23">
        <f t="shared" si="2"/>
        <v>3060014</v>
      </c>
      <c r="D14" s="23"/>
      <c r="E14" s="23">
        <f t="shared" si="2"/>
        <v>65458</v>
      </c>
      <c r="F14" s="24">
        <f>SUM(B14:E14)</f>
        <v>3638386</v>
      </c>
      <c r="G14" s="23">
        <f t="shared" si="3"/>
        <v>506301</v>
      </c>
      <c r="H14" s="23">
        <f t="shared" si="3"/>
        <v>2834969</v>
      </c>
      <c r="I14" s="23"/>
      <c r="J14" s="23">
        <f t="shared" si="3"/>
        <v>26080</v>
      </c>
      <c r="K14" s="24">
        <f>SUM(G14:J14)</f>
        <v>3367350</v>
      </c>
      <c r="L14" s="25">
        <f t="shared" si="4"/>
        <v>6613</v>
      </c>
      <c r="M14" s="25">
        <f t="shared" si="4"/>
        <v>225045</v>
      </c>
      <c r="N14" s="25"/>
      <c r="O14" s="25">
        <f>+E14-J14</f>
        <v>39378</v>
      </c>
      <c r="P14" s="26">
        <f>SUM(L14:O14)</f>
        <v>271036</v>
      </c>
      <c r="Q14" s="18"/>
    </row>
    <row r="15" spans="1:18" ht="12.75" customHeight="1">
      <c r="A15" s="22" t="s">
        <v>30</v>
      </c>
      <c r="B15" s="23">
        <f t="shared" ref="B15:P15" si="5">+B25+B44</f>
        <v>0</v>
      </c>
      <c r="C15" s="23">
        <f t="shared" si="5"/>
        <v>52624</v>
      </c>
      <c r="D15" s="23"/>
      <c r="E15" s="23">
        <f t="shared" si="5"/>
        <v>0</v>
      </c>
      <c r="F15" s="23">
        <f t="shared" si="5"/>
        <v>52624</v>
      </c>
      <c r="G15" s="23">
        <f t="shared" si="5"/>
        <v>0</v>
      </c>
      <c r="H15" s="23">
        <f t="shared" si="5"/>
        <v>22522</v>
      </c>
      <c r="I15" s="23"/>
      <c r="J15" s="23">
        <f t="shared" si="5"/>
        <v>0</v>
      </c>
      <c r="K15" s="23">
        <f t="shared" si="5"/>
        <v>22522</v>
      </c>
      <c r="L15" s="23">
        <f t="shared" si="5"/>
        <v>0</v>
      </c>
      <c r="M15" s="23">
        <f t="shared" si="5"/>
        <v>30102</v>
      </c>
      <c r="N15" s="23"/>
      <c r="O15" s="23">
        <f t="shared" si="5"/>
        <v>0</v>
      </c>
      <c r="P15" s="23">
        <f t="shared" si="5"/>
        <v>30102</v>
      </c>
      <c r="Q15" s="18"/>
    </row>
    <row r="16" spans="1:18" ht="12.75" customHeight="1">
      <c r="A16" s="22" t="s">
        <v>19</v>
      </c>
      <c r="B16" s="44">
        <f t="shared" ref="B16:P16" si="6">+B17+B18</f>
        <v>0</v>
      </c>
      <c r="C16" s="44">
        <f t="shared" si="6"/>
        <v>1235251</v>
      </c>
      <c r="D16" s="44"/>
      <c r="E16" s="45">
        <f t="shared" si="6"/>
        <v>6238807</v>
      </c>
      <c r="F16" s="44">
        <f t="shared" si="6"/>
        <v>7474058</v>
      </c>
      <c r="G16" s="44">
        <f t="shared" si="6"/>
        <v>0</v>
      </c>
      <c r="H16" s="44">
        <f t="shared" si="6"/>
        <v>422196</v>
      </c>
      <c r="I16" s="44"/>
      <c r="J16" s="45">
        <f t="shared" si="6"/>
        <v>2341528</v>
      </c>
      <c r="K16" s="44">
        <f t="shared" si="6"/>
        <v>2763724</v>
      </c>
      <c r="L16" s="44">
        <f t="shared" si="6"/>
        <v>0</v>
      </c>
      <c r="M16" s="44">
        <f t="shared" si="6"/>
        <v>813055</v>
      </c>
      <c r="N16" s="44"/>
      <c r="O16" s="44">
        <f t="shared" si="6"/>
        <v>3897279</v>
      </c>
      <c r="P16" s="45">
        <f t="shared" si="6"/>
        <v>4710334</v>
      </c>
      <c r="Q16" s="18"/>
    </row>
    <row r="17" spans="1:17" ht="12.75" customHeight="1">
      <c r="A17" s="23" t="s">
        <v>20</v>
      </c>
      <c r="B17" s="23">
        <f t="shared" ref="B17:E18" si="7">+B27+B36+B46+B55+B64+B82+B73</f>
        <v>0</v>
      </c>
      <c r="C17" s="23">
        <f t="shared" si="7"/>
        <v>1235251</v>
      </c>
      <c r="D17" s="23"/>
      <c r="E17" s="23">
        <f t="shared" si="7"/>
        <v>6238807</v>
      </c>
      <c r="F17" s="24">
        <f>+C17+E17</f>
        <v>7474058</v>
      </c>
      <c r="G17" s="23">
        <f t="shared" ref="G17:J18" si="8">+G27+G36+G46+G55+G64+G82+G73</f>
        <v>0</v>
      </c>
      <c r="H17" s="23">
        <f t="shared" si="8"/>
        <v>422196</v>
      </c>
      <c r="I17" s="23"/>
      <c r="J17" s="23">
        <f t="shared" si="8"/>
        <v>2341528</v>
      </c>
      <c r="K17" s="24">
        <f>+H17+J17</f>
        <v>2763724</v>
      </c>
      <c r="L17" s="25">
        <f>+B17-G17</f>
        <v>0</v>
      </c>
      <c r="M17" s="25">
        <f>+C17-H17</f>
        <v>813055</v>
      </c>
      <c r="N17" s="25"/>
      <c r="O17" s="25">
        <f>+E17-J17</f>
        <v>3897279</v>
      </c>
      <c r="P17" s="26">
        <f>SUM(L17:O17)</f>
        <v>4710334</v>
      </c>
      <c r="Q17" s="18"/>
    </row>
    <row r="18" spans="1:17" ht="12.75" customHeight="1">
      <c r="A18" s="23" t="s">
        <v>21</v>
      </c>
      <c r="B18" s="23">
        <f t="shared" si="7"/>
        <v>0</v>
      </c>
      <c r="C18" s="23">
        <f t="shared" si="7"/>
        <v>0</v>
      </c>
      <c r="D18" s="23"/>
      <c r="E18" s="23">
        <f t="shared" si="7"/>
        <v>0</v>
      </c>
      <c r="F18" s="24">
        <f>SUM(B18:E18)</f>
        <v>0</v>
      </c>
      <c r="G18" s="23">
        <f t="shared" si="8"/>
        <v>0</v>
      </c>
      <c r="H18" s="23">
        <f t="shared" si="8"/>
        <v>0</v>
      </c>
      <c r="I18" s="23"/>
      <c r="J18" s="23">
        <f t="shared" si="8"/>
        <v>0</v>
      </c>
      <c r="K18" s="24">
        <f>SUM(G18:J18)</f>
        <v>0</v>
      </c>
      <c r="L18" s="25">
        <f>+B18-G18</f>
        <v>0</v>
      </c>
      <c r="M18" s="25">
        <f>+C18-H18</f>
        <v>0</v>
      </c>
      <c r="N18" s="25"/>
      <c r="O18" s="25">
        <f>+E18-J18</f>
        <v>0</v>
      </c>
      <c r="P18" s="26">
        <f>SUM(L18:O18)</f>
        <v>0</v>
      </c>
      <c r="Q18" s="18"/>
    </row>
    <row r="19" spans="1:17" ht="12.75" customHeight="1">
      <c r="A19" s="46"/>
      <c r="B19" s="24"/>
      <c r="C19" s="24"/>
      <c r="D19" s="24"/>
      <c r="E19" s="2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6"/>
      <c r="Q19" s="18"/>
    </row>
    <row r="20" spans="1:17" ht="12.75" customHeight="1">
      <c r="A20" s="33" t="s">
        <v>31</v>
      </c>
      <c r="B20" s="17">
        <f t="shared" ref="B20:K20" si="9">+B21+B25+B26</f>
        <v>1602440</v>
      </c>
      <c r="C20" s="17">
        <f t="shared" si="9"/>
        <v>16201841</v>
      </c>
      <c r="D20" s="17">
        <f t="shared" si="9"/>
        <v>0</v>
      </c>
      <c r="E20" s="17">
        <f t="shared" si="9"/>
        <v>32576833</v>
      </c>
      <c r="F20" s="17">
        <f t="shared" si="9"/>
        <v>50381114</v>
      </c>
      <c r="G20" s="17">
        <f t="shared" si="9"/>
        <v>1560554</v>
      </c>
      <c r="H20" s="17">
        <f t="shared" si="9"/>
        <v>12602420</v>
      </c>
      <c r="I20" s="17">
        <f t="shared" si="9"/>
        <v>0</v>
      </c>
      <c r="J20" s="17">
        <f t="shared" si="9"/>
        <v>12709395</v>
      </c>
      <c r="K20" s="17">
        <f t="shared" si="9"/>
        <v>26872369</v>
      </c>
      <c r="L20" s="17">
        <f t="shared" ref="L20:P20" si="10">+L21+L25+L26</f>
        <v>41886</v>
      </c>
      <c r="M20" s="17">
        <f t="shared" si="10"/>
        <v>3599421</v>
      </c>
      <c r="N20" s="17"/>
      <c r="O20" s="17">
        <f t="shared" si="10"/>
        <v>19867438</v>
      </c>
      <c r="P20" s="17">
        <f t="shared" si="10"/>
        <v>23508745</v>
      </c>
      <c r="Q20" s="18">
        <f>+K20/F20</f>
        <v>0.53338179461454549</v>
      </c>
    </row>
    <row r="21" spans="1:17" ht="12.75" customHeight="1">
      <c r="A21" s="41" t="s">
        <v>15</v>
      </c>
      <c r="B21" s="20">
        <f t="shared" ref="B21:K21" si="11">+B22+B23+B24</f>
        <v>1602440</v>
      </c>
      <c r="C21" s="20">
        <f t="shared" si="11"/>
        <v>15036101</v>
      </c>
      <c r="D21" s="20">
        <f t="shared" si="11"/>
        <v>0</v>
      </c>
      <c r="E21" s="20">
        <f t="shared" si="11"/>
        <v>26976550</v>
      </c>
      <c r="F21" s="20">
        <f t="shared" si="11"/>
        <v>43615091</v>
      </c>
      <c r="G21" s="20">
        <f t="shared" si="11"/>
        <v>1560554</v>
      </c>
      <c r="H21" s="20">
        <f t="shared" si="11"/>
        <v>12183984</v>
      </c>
      <c r="I21" s="20">
        <f t="shared" si="11"/>
        <v>0</v>
      </c>
      <c r="J21" s="20">
        <f t="shared" si="11"/>
        <v>10741101</v>
      </c>
      <c r="K21" s="20">
        <f t="shared" si="11"/>
        <v>24485639</v>
      </c>
      <c r="L21" s="20">
        <f>+L22+L23+L24</f>
        <v>41886</v>
      </c>
      <c r="M21" s="20">
        <f>+M22+M23+M24</f>
        <v>2852117</v>
      </c>
      <c r="N21" s="20"/>
      <c r="O21" s="20">
        <f>+O22+O23+O24</f>
        <v>16235449</v>
      </c>
      <c r="P21" s="21">
        <f>+P22+P23+P24</f>
        <v>19129452</v>
      </c>
      <c r="Q21" s="18"/>
    </row>
    <row r="22" spans="1:17" ht="12.75" customHeight="1">
      <c r="A22" s="22" t="s">
        <v>16</v>
      </c>
      <c r="B22" s="29">
        <v>1331824</v>
      </c>
      <c r="C22" s="29">
        <v>12122183</v>
      </c>
      <c r="D22" s="29"/>
      <c r="E22" s="30">
        <v>26940583</v>
      </c>
      <c r="F22" s="24">
        <f>SUM(B22:E22)</f>
        <v>40394590</v>
      </c>
      <c r="G22" s="29">
        <v>1296066</v>
      </c>
      <c r="H22" s="29">
        <f>9422773+36395</f>
        <v>9459168</v>
      </c>
      <c r="I22" s="29"/>
      <c r="J22" s="29">
        <v>10741101</v>
      </c>
      <c r="K22" s="24">
        <f>SUM(G22:J22)</f>
        <v>21496335</v>
      </c>
      <c r="L22" s="25">
        <f t="shared" ref="L22:M25" si="12">+B22-G22</f>
        <v>35758</v>
      </c>
      <c r="M22" s="25">
        <f t="shared" si="12"/>
        <v>2663015</v>
      </c>
      <c r="N22" s="25"/>
      <c r="O22" s="25">
        <f>+E22-J22</f>
        <v>16199482</v>
      </c>
      <c r="P22" s="26">
        <f>SUM(L22:O22)</f>
        <v>18898255</v>
      </c>
      <c r="Q22" s="18"/>
    </row>
    <row r="23" spans="1:17" ht="12.75" customHeight="1">
      <c r="A23" s="22" t="s">
        <v>17</v>
      </c>
      <c r="B23" s="29">
        <v>174489</v>
      </c>
      <c r="C23" s="34"/>
      <c r="D23" s="34"/>
      <c r="E23" s="30"/>
      <c r="F23" s="24">
        <f>SUM(B23:E23)</f>
        <v>174489</v>
      </c>
      <c r="G23" s="29">
        <v>171328</v>
      </c>
      <c r="H23" s="29">
        <f>36395-36395</f>
        <v>0</v>
      </c>
      <c r="I23" s="29"/>
      <c r="J23" s="34"/>
      <c r="K23" s="24">
        <f>SUM(G23:J23)</f>
        <v>171328</v>
      </c>
      <c r="L23" s="25">
        <f t="shared" si="12"/>
        <v>3161</v>
      </c>
      <c r="M23" s="25">
        <f t="shared" si="12"/>
        <v>0</v>
      </c>
      <c r="N23" s="25"/>
      <c r="O23" s="25">
        <f>+E23-J23</f>
        <v>0</v>
      </c>
      <c r="P23" s="26">
        <f>SUM(L23:O23)</f>
        <v>3161</v>
      </c>
      <c r="Q23" s="18"/>
    </row>
    <row r="24" spans="1:17" ht="12.75" customHeight="1">
      <c r="A24" s="22" t="s">
        <v>18</v>
      </c>
      <c r="B24" s="29">
        <v>96127</v>
      </c>
      <c r="C24" s="29">
        <v>2913918</v>
      </c>
      <c r="D24" s="29"/>
      <c r="E24" s="30">
        <v>35967</v>
      </c>
      <c r="F24" s="24">
        <f>SUM(B24:E24)</f>
        <v>3046012</v>
      </c>
      <c r="G24" s="29">
        <v>93160</v>
      </c>
      <c r="H24" s="29">
        <v>2724816</v>
      </c>
      <c r="I24" s="29"/>
      <c r="J24" s="34"/>
      <c r="K24" s="24">
        <f>SUM(G24:J24)</f>
        <v>2817976</v>
      </c>
      <c r="L24" s="25">
        <f t="shared" si="12"/>
        <v>2967</v>
      </c>
      <c r="M24" s="25">
        <f t="shared" si="12"/>
        <v>189102</v>
      </c>
      <c r="N24" s="25"/>
      <c r="O24" s="25">
        <f>+E24-J24</f>
        <v>35967</v>
      </c>
      <c r="P24" s="26">
        <f>SUM(L24:O24)</f>
        <v>228036</v>
      </c>
      <c r="Q24" s="18"/>
    </row>
    <row r="25" spans="1:17" ht="12.75" customHeight="1">
      <c r="A25" s="22" t="s">
        <v>30</v>
      </c>
      <c r="B25" s="29"/>
      <c r="C25" s="29">
        <v>30102</v>
      </c>
      <c r="D25" s="29"/>
      <c r="E25" s="30"/>
      <c r="F25" s="24">
        <f>SUM(B25:E25)</f>
        <v>30102</v>
      </c>
      <c r="G25" s="29"/>
      <c r="H25" s="29"/>
      <c r="I25" s="29"/>
      <c r="J25" s="34"/>
      <c r="K25" s="24">
        <f>SUM(G25:J25)</f>
        <v>0</v>
      </c>
      <c r="L25" s="25">
        <f t="shared" si="12"/>
        <v>0</v>
      </c>
      <c r="M25" s="25">
        <f t="shared" si="12"/>
        <v>30102</v>
      </c>
      <c r="N25" s="25"/>
      <c r="O25" s="25">
        <f>+E25-J25</f>
        <v>0</v>
      </c>
      <c r="P25" s="26">
        <f>SUM(L25:O25)</f>
        <v>30102</v>
      </c>
      <c r="Q25" s="18"/>
    </row>
    <row r="26" spans="1:17" ht="12.75" customHeight="1">
      <c r="A26" s="22" t="s">
        <v>19</v>
      </c>
      <c r="B26" s="27">
        <f t="shared" ref="B26:K26" si="13">+B27+B28</f>
        <v>0</v>
      </c>
      <c r="C26" s="27">
        <f t="shared" si="13"/>
        <v>1135638</v>
      </c>
      <c r="D26" s="27">
        <f t="shared" si="13"/>
        <v>0</v>
      </c>
      <c r="E26" s="27">
        <f t="shared" si="13"/>
        <v>5600283</v>
      </c>
      <c r="F26" s="27">
        <f t="shared" si="13"/>
        <v>6735921</v>
      </c>
      <c r="G26" s="27">
        <f t="shared" si="13"/>
        <v>0</v>
      </c>
      <c r="H26" s="27">
        <f t="shared" si="13"/>
        <v>418436</v>
      </c>
      <c r="I26" s="27">
        <f t="shared" si="13"/>
        <v>0</v>
      </c>
      <c r="J26" s="27">
        <f t="shared" si="13"/>
        <v>1968294</v>
      </c>
      <c r="K26" s="27">
        <f t="shared" si="13"/>
        <v>2386730</v>
      </c>
      <c r="L26" s="27">
        <f>+L27+L28</f>
        <v>0</v>
      </c>
      <c r="M26" s="27">
        <f>+M27+M28</f>
        <v>717202</v>
      </c>
      <c r="N26" s="27"/>
      <c r="O26" s="27">
        <f>+O27+O28</f>
        <v>3631989</v>
      </c>
      <c r="P26" s="28">
        <f>+P27+P28</f>
        <v>4349191</v>
      </c>
      <c r="Q26" s="18"/>
    </row>
    <row r="27" spans="1:17" ht="12.75" customHeight="1">
      <c r="A27" s="23" t="s">
        <v>20</v>
      </c>
      <c r="B27" s="29"/>
      <c r="C27" s="29">
        <v>1135638</v>
      </c>
      <c r="D27" s="29"/>
      <c r="E27" s="30">
        <v>5600283</v>
      </c>
      <c r="F27" s="24">
        <f>SUM(B27:E27)</f>
        <v>6735921</v>
      </c>
      <c r="G27" s="29"/>
      <c r="H27" s="29">
        <v>418436</v>
      </c>
      <c r="I27" s="29"/>
      <c r="J27" s="29">
        <v>1968294</v>
      </c>
      <c r="K27" s="24">
        <f>SUM(G27:J27)</f>
        <v>2386730</v>
      </c>
      <c r="L27" s="25">
        <f>+B27-G27</f>
        <v>0</v>
      </c>
      <c r="M27" s="25">
        <f>+C27-H27</f>
        <v>717202</v>
      </c>
      <c r="N27" s="25"/>
      <c r="O27" s="25">
        <f>+E27-J27</f>
        <v>3631989</v>
      </c>
      <c r="P27" s="26">
        <f>SUM(L27:O27)</f>
        <v>4349191</v>
      </c>
      <c r="Q27" s="18"/>
    </row>
    <row r="28" spans="1:17" ht="12.75" customHeight="1">
      <c r="A28" s="23" t="s">
        <v>21</v>
      </c>
      <c r="B28" s="29"/>
      <c r="C28" s="29"/>
      <c r="D28" s="29"/>
      <c r="E28" s="30"/>
      <c r="F28" s="24">
        <f>SUM(B28:E28)</f>
        <v>0</v>
      </c>
      <c r="G28" s="31"/>
      <c r="H28" s="31"/>
      <c r="I28" s="31"/>
      <c r="J28" s="31"/>
      <c r="K28" s="32">
        <f>SUM(G28:J28)</f>
        <v>0</v>
      </c>
      <c r="L28" s="25">
        <f>+B28-G28</f>
        <v>0</v>
      </c>
      <c r="M28" s="25">
        <f>+C28-H28</f>
        <v>0</v>
      </c>
      <c r="N28" s="25"/>
      <c r="O28" s="25">
        <f>+E28-J28</f>
        <v>0</v>
      </c>
      <c r="P28" s="26">
        <f>SUM(L28:O28)</f>
        <v>0</v>
      </c>
      <c r="Q28" s="18"/>
    </row>
    <row r="29" spans="1:17" ht="12.75" customHeight="1">
      <c r="A29" s="33"/>
      <c r="B29" s="24"/>
      <c r="C29" s="24"/>
      <c r="D29" s="24"/>
      <c r="E29" s="26"/>
      <c r="F29" s="24"/>
      <c r="G29" s="32"/>
      <c r="H29" s="32"/>
      <c r="I29" s="32"/>
      <c r="J29" s="32"/>
      <c r="K29" s="32"/>
      <c r="L29" s="24"/>
      <c r="M29" s="24"/>
      <c r="N29" s="24"/>
      <c r="O29" s="24"/>
      <c r="P29" s="26"/>
      <c r="Q29" s="18"/>
    </row>
    <row r="30" spans="1:17" ht="12.75" customHeight="1">
      <c r="A30" s="33" t="s">
        <v>147</v>
      </c>
      <c r="B30" s="17">
        <f t="shared" ref="B30:K30" si="14">+B31+B35</f>
        <v>36052</v>
      </c>
      <c r="C30" s="17">
        <f t="shared" si="14"/>
        <v>24060</v>
      </c>
      <c r="D30" s="17">
        <f t="shared" si="14"/>
        <v>0</v>
      </c>
      <c r="E30" s="17">
        <f t="shared" si="14"/>
        <v>900</v>
      </c>
      <c r="F30" s="17">
        <f t="shared" si="14"/>
        <v>61012</v>
      </c>
      <c r="G30" s="17">
        <f t="shared" si="14"/>
        <v>36052</v>
      </c>
      <c r="H30" s="17">
        <f t="shared" si="14"/>
        <v>24011</v>
      </c>
      <c r="I30" s="17">
        <f t="shared" si="14"/>
        <v>0</v>
      </c>
      <c r="J30" s="17">
        <f t="shared" si="14"/>
        <v>875</v>
      </c>
      <c r="K30" s="17">
        <f t="shared" si="14"/>
        <v>60938</v>
      </c>
      <c r="L30" s="17">
        <f>+L31+L35</f>
        <v>0</v>
      </c>
      <c r="M30" s="17">
        <f>+M31+M35</f>
        <v>49</v>
      </c>
      <c r="N30" s="17"/>
      <c r="O30" s="17">
        <f>+O31+O35</f>
        <v>25</v>
      </c>
      <c r="P30" s="17">
        <f>+P31+P35</f>
        <v>74</v>
      </c>
      <c r="Q30" s="18">
        <f>+K30/F30</f>
        <v>0.99878712384448964</v>
      </c>
    </row>
    <row r="31" spans="1:17" ht="12.75" customHeight="1">
      <c r="A31" s="41" t="s">
        <v>15</v>
      </c>
      <c r="B31" s="20">
        <f t="shared" ref="B31:K31" si="15">+B32+B33+B34</f>
        <v>36052</v>
      </c>
      <c r="C31" s="20">
        <f t="shared" si="15"/>
        <v>24060</v>
      </c>
      <c r="D31" s="20">
        <f t="shared" si="15"/>
        <v>0</v>
      </c>
      <c r="E31" s="20">
        <f t="shared" si="15"/>
        <v>900</v>
      </c>
      <c r="F31" s="20">
        <f t="shared" si="15"/>
        <v>61012</v>
      </c>
      <c r="G31" s="20">
        <f t="shared" si="15"/>
        <v>36052</v>
      </c>
      <c r="H31" s="20">
        <f t="shared" si="15"/>
        <v>24011</v>
      </c>
      <c r="I31" s="20">
        <f t="shared" si="15"/>
        <v>0</v>
      </c>
      <c r="J31" s="20">
        <f t="shared" si="15"/>
        <v>875</v>
      </c>
      <c r="K31" s="20">
        <f t="shared" si="15"/>
        <v>60938</v>
      </c>
      <c r="L31" s="20">
        <f>+L32+L33+L34</f>
        <v>0</v>
      </c>
      <c r="M31" s="20">
        <f>+M32+M33+M34</f>
        <v>49</v>
      </c>
      <c r="N31" s="20"/>
      <c r="O31" s="20">
        <f>+O32+O33+O34</f>
        <v>25</v>
      </c>
      <c r="P31" s="21">
        <f>+P32+P33+P34</f>
        <v>74</v>
      </c>
      <c r="Q31" s="18"/>
    </row>
    <row r="32" spans="1:17" ht="12.75" customHeight="1">
      <c r="A32" s="22" t="s">
        <v>16</v>
      </c>
      <c r="B32" s="29">
        <v>30542</v>
      </c>
      <c r="C32" s="29">
        <v>24060</v>
      </c>
      <c r="D32" s="29"/>
      <c r="E32" s="30">
        <v>900</v>
      </c>
      <c r="F32" s="24">
        <f>SUM(B32:E32)</f>
        <v>55502</v>
      </c>
      <c r="G32" s="29">
        <v>30542</v>
      </c>
      <c r="H32" s="29">
        <v>24011</v>
      </c>
      <c r="I32" s="29"/>
      <c r="J32" s="29">
        <v>875</v>
      </c>
      <c r="K32" s="24">
        <f>SUM(G32:J32)</f>
        <v>55428</v>
      </c>
      <c r="L32" s="25">
        <f t="shared" ref="L32:M34" si="16">+B32-G32</f>
        <v>0</v>
      </c>
      <c r="M32" s="25">
        <f t="shared" si="16"/>
        <v>49</v>
      </c>
      <c r="N32" s="25"/>
      <c r="O32" s="25">
        <f>+E32-J32</f>
        <v>25</v>
      </c>
      <c r="P32" s="26">
        <f>SUM(L32:O32)</f>
        <v>74</v>
      </c>
      <c r="Q32" s="18"/>
    </row>
    <row r="33" spans="1:17" ht="12.75" customHeight="1">
      <c r="A33" s="22" t="s">
        <v>17</v>
      </c>
      <c r="B33" s="29">
        <v>2721</v>
      </c>
      <c r="C33" s="34"/>
      <c r="D33" s="34"/>
      <c r="E33" s="30"/>
      <c r="F33" s="24">
        <f>SUM(B33:E33)</f>
        <v>2721</v>
      </c>
      <c r="G33" s="29">
        <v>2721</v>
      </c>
      <c r="H33" s="34"/>
      <c r="I33" s="34"/>
      <c r="J33" s="34"/>
      <c r="K33" s="24">
        <f>SUM(G33:J33)</f>
        <v>2721</v>
      </c>
      <c r="L33" s="25">
        <f t="shared" si="16"/>
        <v>0</v>
      </c>
      <c r="M33" s="25">
        <f t="shared" si="16"/>
        <v>0</v>
      </c>
      <c r="N33" s="25"/>
      <c r="O33" s="25">
        <f>+E33-J33</f>
        <v>0</v>
      </c>
      <c r="P33" s="26">
        <f>SUM(L33:O33)</f>
        <v>0</v>
      </c>
      <c r="Q33" s="18"/>
    </row>
    <row r="34" spans="1:17" ht="12.75" customHeight="1">
      <c r="A34" s="22" t="s">
        <v>18</v>
      </c>
      <c r="B34" s="29">
        <v>2789</v>
      </c>
      <c r="C34" s="34"/>
      <c r="D34" s="34"/>
      <c r="E34" s="35"/>
      <c r="F34" s="24">
        <f>SUM(B34:E34)</f>
        <v>2789</v>
      </c>
      <c r="G34" s="29">
        <v>2789</v>
      </c>
      <c r="H34" s="34"/>
      <c r="I34" s="34"/>
      <c r="J34" s="34"/>
      <c r="K34" s="24">
        <f>SUM(G34:J34)</f>
        <v>2789</v>
      </c>
      <c r="L34" s="25">
        <f t="shared" si="16"/>
        <v>0</v>
      </c>
      <c r="M34" s="25">
        <f t="shared" si="16"/>
        <v>0</v>
      </c>
      <c r="N34" s="25"/>
      <c r="O34" s="25">
        <f>+E34-J34</f>
        <v>0</v>
      </c>
      <c r="P34" s="26">
        <f>SUM(L34:O34)</f>
        <v>0</v>
      </c>
      <c r="Q34" s="18"/>
    </row>
    <row r="35" spans="1:17" ht="12.75" customHeight="1">
      <c r="A35" s="22" t="s">
        <v>19</v>
      </c>
      <c r="B35" s="27">
        <f t="shared" ref="B35:K35" si="17">+B36+B37</f>
        <v>0</v>
      </c>
      <c r="C35" s="27">
        <f t="shared" si="17"/>
        <v>0</v>
      </c>
      <c r="D35" s="27">
        <f t="shared" si="17"/>
        <v>0</v>
      </c>
      <c r="E35" s="27">
        <f t="shared" si="17"/>
        <v>0</v>
      </c>
      <c r="F35" s="27">
        <f t="shared" si="17"/>
        <v>0</v>
      </c>
      <c r="G35" s="27">
        <f t="shared" si="17"/>
        <v>0</v>
      </c>
      <c r="H35" s="27">
        <f t="shared" si="17"/>
        <v>0</v>
      </c>
      <c r="I35" s="27">
        <f t="shared" si="17"/>
        <v>0</v>
      </c>
      <c r="J35" s="27">
        <f t="shared" si="17"/>
        <v>0</v>
      </c>
      <c r="K35" s="27">
        <f t="shared" si="17"/>
        <v>0</v>
      </c>
      <c r="L35" s="27">
        <f>+L36+L37</f>
        <v>0</v>
      </c>
      <c r="M35" s="27">
        <f>+M36+M37</f>
        <v>0</v>
      </c>
      <c r="N35" s="27"/>
      <c r="O35" s="27">
        <f>+O36+O37</f>
        <v>0</v>
      </c>
      <c r="P35" s="28">
        <f>+P36+P37</f>
        <v>0</v>
      </c>
      <c r="Q35" s="18"/>
    </row>
    <row r="36" spans="1:17" ht="12.75" customHeight="1">
      <c r="A36" s="23" t="s">
        <v>20</v>
      </c>
      <c r="B36" s="29"/>
      <c r="C36" s="29"/>
      <c r="D36" s="29"/>
      <c r="E36" s="30"/>
      <c r="F36" s="24">
        <f>SUM(B36:E36)</f>
        <v>0</v>
      </c>
      <c r="G36" s="29"/>
      <c r="H36" s="29"/>
      <c r="I36" s="29"/>
      <c r="J36" s="29"/>
      <c r="K36" s="24">
        <f>SUM(G36:J36)</f>
        <v>0</v>
      </c>
      <c r="L36" s="25">
        <f>+B36-G36</f>
        <v>0</v>
      </c>
      <c r="M36" s="25">
        <f>+C36-H36</f>
        <v>0</v>
      </c>
      <c r="N36" s="25"/>
      <c r="O36" s="25">
        <f>+E36-J36</f>
        <v>0</v>
      </c>
      <c r="P36" s="26">
        <f>SUM(L36:O36)</f>
        <v>0</v>
      </c>
      <c r="Q36" s="18"/>
    </row>
    <row r="37" spans="1:17" ht="12.75" customHeight="1">
      <c r="A37" s="23" t="s">
        <v>21</v>
      </c>
      <c r="B37" s="29"/>
      <c r="C37" s="29"/>
      <c r="D37" s="29"/>
      <c r="E37" s="30"/>
      <c r="F37" s="24">
        <f>SUM(B37:E37)</f>
        <v>0</v>
      </c>
      <c r="G37" s="29"/>
      <c r="H37" s="29"/>
      <c r="I37" s="29"/>
      <c r="J37" s="29"/>
      <c r="K37" s="24">
        <f>SUM(G37:J37)</f>
        <v>0</v>
      </c>
      <c r="L37" s="25">
        <f>+B37-G37</f>
        <v>0</v>
      </c>
      <c r="M37" s="25">
        <f>+C37-H37</f>
        <v>0</v>
      </c>
      <c r="N37" s="25"/>
      <c r="O37" s="25">
        <f>+E37-J37</f>
        <v>0</v>
      </c>
      <c r="P37" s="26">
        <f>SUM(L37:O37)</f>
        <v>0</v>
      </c>
      <c r="Q37" s="18"/>
    </row>
    <row r="38" spans="1:17" ht="12.75" customHeight="1">
      <c r="A38" s="33"/>
      <c r="B38" s="24"/>
      <c r="C38" s="24"/>
      <c r="D38" s="24"/>
      <c r="E38" s="26"/>
      <c r="F38" s="24"/>
      <c r="G38" s="32"/>
      <c r="H38" s="32"/>
      <c r="I38" s="32"/>
      <c r="J38" s="32"/>
      <c r="K38" s="32"/>
      <c r="L38" s="24"/>
      <c r="M38" s="24"/>
      <c r="N38" s="24"/>
      <c r="O38" s="24"/>
      <c r="P38" s="26"/>
      <c r="Q38" s="18"/>
    </row>
    <row r="39" spans="1:17" ht="12.75" customHeight="1">
      <c r="A39" s="33" t="s">
        <v>148</v>
      </c>
      <c r="B39" s="17">
        <f t="shared" ref="B39:K39" si="18">+B40+B44+B45</f>
        <v>228786</v>
      </c>
      <c r="C39" s="17">
        <f t="shared" si="18"/>
        <v>379630</v>
      </c>
      <c r="D39" s="17">
        <f t="shared" si="18"/>
        <v>0</v>
      </c>
      <c r="E39" s="17">
        <f t="shared" si="18"/>
        <v>309342</v>
      </c>
      <c r="F39" s="17">
        <f t="shared" si="18"/>
        <v>917758</v>
      </c>
      <c r="G39" s="17">
        <f t="shared" si="18"/>
        <v>224572</v>
      </c>
      <c r="H39" s="17">
        <f t="shared" si="18"/>
        <v>369128</v>
      </c>
      <c r="I39" s="17">
        <f t="shared" si="18"/>
        <v>0</v>
      </c>
      <c r="J39" s="17">
        <f t="shared" si="18"/>
        <v>297941</v>
      </c>
      <c r="K39" s="17">
        <f t="shared" si="18"/>
        <v>891641</v>
      </c>
      <c r="L39" s="17">
        <f t="shared" ref="L39:P39" si="19">+L40+L44+L45</f>
        <v>4214</v>
      </c>
      <c r="M39" s="17">
        <f t="shared" si="19"/>
        <v>10502</v>
      </c>
      <c r="N39" s="17"/>
      <c r="O39" s="17">
        <f t="shared" si="19"/>
        <v>11401</v>
      </c>
      <c r="P39" s="17">
        <f t="shared" si="19"/>
        <v>26117</v>
      </c>
      <c r="Q39" s="18">
        <f>+K39/F39</f>
        <v>0.97154260709250151</v>
      </c>
    </row>
    <row r="40" spans="1:17" ht="12.75" customHeight="1">
      <c r="A40" s="41" t="s">
        <v>15</v>
      </c>
      <c r="B40" s="20">
        <f t="shared" ref="B40:K40" si="20">+B41+B42+B43</f>
        <v>228786</v>
      </c>
      <c r="C40" s="20">
        <f t="shared" si="20"/>
        <v>356418</v>
      </c>
      <c r="D40" s="20">
        <f t="shared" si="20"/>
        <v>0</v>
      </c>
      <c r="E40" s="20">
        <f t="shared" si="20"/>
        <v>9342</v>
      </c>
      <c r="F40" s="20">
        <f t="shared" si="20"/>
        <v>594546</v>
      </c>
      <c r="G40" s="20">
        <f t="shared" si="20"/>
        <v>224572</v>
      </c>
      <c r="H40" s="20">
        <f t="shared" si="20"/>
        <v>346378</v>
      </c>
      <c r="I40" s="20">
        <f t="shared" si="20"/>
        <v>0</v>
      </c>
      <c r="J40" s="20">
        <f t="shared" si="20"/>
        <v>8771</v>
      </c>
      <c r="K40" s="20">
        <f t="shared" si="20"/>
        <v>579721</v>
      </c>
      <c r="L40" s="20">
        <f>+L41+L42+L43</f>
        <v>4214</v>
      </c>
      <c r="M40" s="20">
        <f>+M41+M42+M43</f>
        <v>10040</v>
      </c>
      <c r="N40" s="20"/>
      <c r="O40" s="20">
        <f>+O41+O42+O43</f>
        <v>571</v>
      </c>
      <c r="P40" s="21">
        <f>+P41+P42+P43</f>
        <v>14825</v>
      </c>
      <c r="Q40" s="18"/>
    </row>
    <row r="41" spans="1:17" ht="12.75" customHeight="1">
      <c r="A41" s="22" t="s">
        <v>16</v>
      </c>
      <c r="B41" s="29">
        <v>195738</v>
      </c>
      <c r="C41" s="29">
        <v>331418</v>
      </c>
      <c r="D41" s="29"/>
      <c r="E41" s="30">
        <v>9342</v>
      </c>
      <c r="F41" s="24">
        <f>SUM(B41:E41)</f>
        <v>536498</v>
      </c>
      <c r="G41" s="29">
        <v>192490</v>
      </c>
      <c r="H41" s="29">
        <v>327355</v>
      </c>
      <c r="I41" s="29"/>
      <c r="J41" s="29">
        <v>8771</v>
      </c>
      <c r="K41" s="24">
        <f>SUM(G41:J41)</f>
        <v>528616</v>
      </c>
      <c r="L41" s="25">
        <f t="shared" ref="L41:M44" si="21">+B41-G41</f>
        <v>3248</v>
      </c>
      <c r="M41" s="25">
        <f t="shared" si="21"/>
        <v>4063</v>
      </c>
      <c r="N41" s="25"/>
      <c r="O41" s="25">
        <f>+E41-J41</f>
        <v>571</v>
      </c>
      <c r="P41" s="26">
        <f>SUM(L41:O41)</f>
        <v>7882</v>
      </c>
      <c r="Q41" s="18"/>
    </row>
    <row r="42" spans="1:17" ht="12.75" customHeight="1">
      <c r="A42" s="22" t="s">
        <v>17</v>
      </c>
      <c r="B42" s="29">
        <v>14876</v>
      </c>
      <c r="C42" s="34"/>
      <c r="D42" s="34"/>
      <c r="E42" s="30"/>
      <c r="F42" s="24">
        <f>SUM(B42:E42)</f>
        <v>14876</v>
      </c>
      <c r="G42" s="29">
        <v>14696</v>
      </c>
      <c r="H42" s="29"/>
      <c r="I42" s="29"/>
      <c r="J42" s="34"/>
      <c r="K42" s="24">
        <f>SUM(G42:J42)</f>
        <v>14696</v>
      </c>
      <c r="L42" s="25">
        <f t="shared" si="21"/>
        <v>180</v>
      </c>
      <c r="M42" s="25">
        <f t="shared" si="21"/>
        <v>0</v>
      </c>
      <c r="N42" s="25"/>
      <c r="O42" s="25">
        <f>+E42-J42</f>
        <v>0</v>
      </c>
      <c r="P42" s="26">
        <f>SUM(L42:O42)</f>
        <v>180</v>
      </c>
      <c r="Q42" s="18"/>
    </row>
    <row r="43" spans="1:17" ht="12.75" customHeight="1">
      <c r="A43" s="22" t="s">
        <v>18</v>
      </c>
      <c r="B43" s="29">
        <v>18172</v>
      </c>
      <c r="C43" s="29">
        <v>25000</v>
      </c>
      <c r="D43" s="29"/>
      <c r="E43" s="35"/>
      <c r="F43" s="24">
        <f>SUM(B43:E43)</f>
        <v>43172</v>
      </c>
      <c r="G43" s="29">
        <v>17386</v>
      </c>
      <c r="H43" s="29">
        <v>19023</v>
      </c>
      <c r="I43" s="34"/>
      <c r="J43" s="34"/>
      <c r="K43" s="24">
        <f>SUM(G43:J43)</f>
        <v>36409</v>
      </c>
      <c r="L43" s="25">
        <f t="shared" si="21"/>
        <v>786</v>
      </c>
      <c r="M43" s="25">
        <f t="shared" si="21"/>
        <v>5977</v>
      </c>
      <c r="N43" s="25"/>
      <c r="O43" s="25">
        <f>+E43-J43</f>
        <v>0</v>
      </c>
      <c r="P43" s="26">
        <f>SUM(L43:O43)</f>
        <v>6763</v>
      </c>
      <c r="Q43" s="18"/>
    </row>
    <row r="44" spans="1:17" ht="12.75" customHeight="1">
      <c r="A44" s="22" t="s">
        <v>30</v>
      </c>
      <c r="B44" s="29"/>
      <c r="C44" s="29">
        <v>22522</v>
      </c>
      <c r="D44" s="29"/>
      <c r="E44" s="35"/>
      <c r="F44" s="24">
        <f>SUM(B44:E44)</f>
        <v>22522</v>
      </c>
      <c r="G44" s="29"/>
      <c r="H44" s="29">
        <v>22522</v>
      </c>
      <c r="I44" s="34"/>
      <c r="J44" s="34"/>
      <c r="K44" s="24">
        <f>SUM(G44:J44)</f>
        <v>22522</v>
      </c>
      <c r="L44" s="25">
        <f t="shared" si="21"/>
        <v>0</v>
      </c>
      <c r="M44" s="25">
        <f t="shared" si="21"/>
        <v>0</v>
      </c>
      <c r="N44" s="25"/>
      <c r="O44" s="25">
        <f>+E44-J44</f>
        <v>0</v>
      </c>
      <c r="P44" s="26">
        <f>SUM(L44:O44)</f>
        <v>0</v>
      </c>
      <c r="Q44" s="18"/>
    </row>
    <row r="45" spans="1:17" ht="12.75" customHeight="1">
      <c r="A45" s="22" t="s">
        <v>19</v>
      </c>
      <c r="B45" s="27">
        <f t="shared" ref="B45:K45" si="22">+B46+B47</f>
        <v>0</v>
      </c>
      <c r="C45" s="27">
        <f t="shared" si="22"/>
        <v>690</v>
      </c>
      <c r="D45" s="27">
        <f t="shared" si="22"/>
        <v>0</v>
      </c>
      <c r="E45" s="27">
        <f t="shared" si="22"/>
        <v>300000</v>
      </c>
      <c r="F45" s="27">
        <f t="shared" si="22"/>
        <v>300690</v>
      </c>
      <c r="G45" s="27">
        <f t="shared" si="22"/>
        <v>0</v>
      </c>
      <c r="H45" s="27">
        <f t="shared" si="22"/>
        <v>228</v>
      </c>
      <c r="I45" s="27">
        <f t="shared" si="22"/>
        <v>0</v>
      </c>
      <c r="J45" s="27">
        <f t="shared" si="22"/>
        <v>289170</v>
      </c>
      <c r="K45" s="27">
        <f t="shared" si="22"/>
        <v>289398</v>
      </c>
      <c r="L45" s="27">
        <f>+L46+L47</f>
        <v>0</v>
      </c>
      <c r="M45" s="27">
        <f>+M46+M47</f>
        <v>462</v>
      </c>
      <c r="N45" s="27"/>
      <c r="O45" s="27">
        <f>+O46+O47</f>
        <v>10830</v>
      </c>
      <c r="P45" s="28">
        <f>+P46+P47</f>
        <v>11292</v>
      </c>
      <c r="Q45" s="18"/>
    </row>
    <row r="46" spans="1:17" ht="12.75" customHeight="1">
      <c r="A46" s="23" t="s">
        <v>20</v>
      </c>
      <c r="B46" s="29"/>
      <c r="C46" s="29">
        <v>690</v>
      </c>
      <c r="D46" s="29"/>
      <c r="E46" s="30">
        <v>300000</v>
      </c>
      <c r="F46" s="24">
        <f>SUM(B46:E46)</f>
        <v>300690</v>
      </c>
      <c r="G46" s="29"/>
      <c r="H46" s="29">
        <v>228</v>
      </c>
      <c r="I46" s="29"/>
      <c r="J46" s="29">
        <v>289170</v>
      </c>
      <c r="K46" s="24">
        <f>SUM(G46:J46)</f>
        <v>289398</v>
      </c>
      <c r="L46" s="25">
        <f>+B46-G46</f>
        <v>0</v>
      </c>
      <c r="M46" s="25">
        <f>+C46-H46</f>
        <v>462</v>
      </c>
      <c r="N46" s="25"/>
      <c r="O46" s="25">
        <f>+E46-J46</f>
        <v>10830</v>
      </c>
      <c r="P46" s="26">
        <f>SUM(L46:O46)</f>
        <v>11292</v>
      </c>
      <c r="Q46" s="18"/>
    </row>
    <row r="47" spans="1:17" ht="12.75" customHeight="1">
      <c r="A47" s="23" t="s">
        <v>21</v>
      </c>
      <c r="B47" s="29"/>
      <c r="C47" s="29"/>
      <c r="D47" s="29"/>
      <c r="E47" s="30"/>
      <c r="F47" s="24">
        <f>SUM(B47:E47)</f>
        <v>0</v>
      </c>
      <c r="G47" s="29"/>
      <c r="H47" s="29"/>
      <c r="I47" s="29"/>
      <c r="J47" s="29"/>
      <c r="K47" s="24">
        <f>SUM(G47:J47)</f>
        <v>0</v>
      </c>
      <c r="L47" s="25">
        <f>+B47-G47</f>
        <v>0</v>
      </c>
      <c r="M47" s="25">
        <f>+C47-H47</f>
        <v>0</v>
      </c>
      <c r="N47" s="25"/>
      <c r="O47" s="25">
        <f>+E47-J47</f>
        <v>0</v>
      </c>
      <c r="P47" s="26">
        <f>SUM(L47:O47)</f>
        <v>0</v>
      </c>
      <c r="Q47" s="18"/>
    </row>
    <row r="48" spans="1:17" ht="12.75" customHeight="1">
      <c r="A48" s="33"/>
      <c r="B48" s="24"/>
      <c r="C48" s="24"/>
      <c r="D48" s="24"/>
      <c r="E48" s="26"/>
      <c r="F48" s="24"/>
      <c r="G48" s="32"/>
      <c r="H48" s="32"/>
      <c r="I48" s="32"/>
      <c r="J48" s="32"/>
      <c r="K48" s="32"/>
      <c r="L48" s="24"/>
      <c r="M48" s="24"/>
      <c r="N48" s="24"/>
      <c r="O48" s="24"/>
      <c r="P48" s="26"/>
      <c r="Q48" s="18"/>
    </row>
    <row r="49" spans="1:17" ht="12.75" customHeight="1">
      <c r="A49" s="33" t="s">
        <v>149</v>
      </c>
      <c r="B49" s="17">
        <f t="shared" ref="B49:K49" si="23">+B50+B54</f>
        <v>13249</v>
      </c>
      <c r="C49" s="17">
        <f t="shared" si="23"/>
        <v>5207</v>
      </c>
      <c r="D49" s="17">
        <f t="shared" si="23"/>
        <v>0</v>
      </c>
      <c r="E49" s="17">
        <f t="shared" si="23"/>
        <v>6</v>
      </c>
      <c r="F49" s="17">
        <f t="shared" si="23"/>
        <v>18462</v>
      </c>
      <c r="G49" s="17">
        <f t="shared" si="23"/>
        <v>13207</v>
      </c>
      <c r="H49" s="17">
        <f t="shared" si="23"/>
        <v>5056</v>
      </c>
      <c r="I49" s="17">
        <f t="shared" si="23"/>
        <v>0</v>
      </c>
      <c r="J49" s="17">
        <f t="shared" si="23"/>
        <v>0</v>
      </c>
      <c r="K49" s="17">
        <f t="shared" si="23"/>
        <v>18263</v>
      </c>
      <c r="L49" s="17">
        <f>+L50+L54</f>
        <v>42</v>
      </c>
      <c r="M49" s="17">
        <f>+M50+M54</f>
        <v>151</v>
      </c>
      <c r="N49" s="17"/>
      <c r="O49" s="17">
        <f>+O50+O54</f>
        <v>6</v>
      </c>
      <c r="P49" s="17">
        <f>+P50+P54</f>
        <v>199</v>
      </c>
      <c r="Q49" s="18">
        <f>+K49/F49</f>
        <v>0.98922110280576314</v>
      </c>
    </row>
    <row r="50" spans="1:17" ht="12.75" customHeight="1">
      <c r="A50" s="41" t="s">
        <v>15</v>
      </c>
      <c r="B50" s="20">
        <f t="shared" ref="B50:K50" si="24">+B51+B52+B53</f>
        <v>13249</v>
      </c>
      <c r="C50" s="20">
        <f t="shared" si="24"/>
        <v>5169</v>
      </c>
      <c r="D50" s="20">
        <f t="shared" si="24"/>
        <v>0</v>
      </c>
      <c r="E50" s="20">
        <f t="shared" si="24"/>
        <v>0</v>
      </c>
      <c r="F50" s="20">
        <f t="shared" si="24"/>
        <v>18418</v>
      </c>
      <c r="G50" s="20">
        <f t="shared" si="24"/>
        <v>13207</v>
      </c>
      <c r="H50" s="20">
        <f t="shared" si="24"/>
        <v>5056</v>
      </c>
      <c r="I50" s="20">
        <f t="shared" si="24"/>
        <v>0</v>
      </c>
      <c r="J50" s="20">
        <f t="shared" si="24"/>
        <v>0</v>
      </c>
      <c r="K50" s="20">
        <f t="shared" si="24"/>
        <v>18263</v>
      </c>
      <c r="L50" s="20">
        <f>+L51+L52+L53</f>
        <v>42</v>
      </c>
      <c r="M50" s="20">
        <f>+M51+M52+M53</f>
        <v>113</v>
      </c>
      <c r="N50" s="20"/>
      <c r="O50" s="20">
        <f>+O51+O52+O53</f>
        <v>0</v>
      </c>
      <c r="P50" s="21">
        <f>+P51+P52+P53</f>
        <v>155</v>
      </c>
      <c r="Q50" s="18"/>
    </row>
    <row r="51" spans="1:17" ht="12.75" customHeight="1">
      <c r="A51" s="22" t="s">
        <v>16</v>
      </c>
      <c r="B51" s="29">
        <v>11550</v>
      </c>
      <c r="C51" s="29">
        <v>5169</v>
      </c>
      <c r="D51" s="29"/>
      <c r="E51" s="30"/>
      <c r="F51" s="24">
        <f>SUM(B51:E51)</f>
        <v>16719</v>
      </c>
      <c r="G51" s="29">
        <v>11550</v>
      </c>
      <c r="H51" s="29">
        <v>5056</v>
      </c>
      <c r="I51" s="29"/>
      <c r="J51" s="29"/>
      <c r="K51" s="24">
        <f>SUM(G51:J51)</f>
        <v>16606</v>
      </c>
      <c r="L51" s="25">
        <f t="shared" ref="L51:M53" si="25">+B51-G51</f>
        <v>0</v>
      </c>
      <c r="M51" s="25">
        <f t="shared" si="25"/>
        <v>113</v>
      </c>
      <c r="N51" s="25"/>
      <c r="O51" s="25">
        <f>+E51-J51</f>
        <v>0</v>
      </c>
      <c r="P51" s="26">
        <f>SUM(L51:O51)</f>
        <v>113</v>
      </c>
      <c r="Q51" s="18"/>
    </row>
    <row r="52" spans="1:17" ht="12.75" customHeight="1">
      <c r="A52" s="22" t="s">
        <v>17</v>
      </c>
      <c r="B52" s="29">
        <v>627</v>
      </c>
      <c r="C52" s="34"/>
      <c r="D52" s="34"/>
      <c r="E52" s="30"/>
      <c r="F52" s="24">
        <f>SUM(B52:E52)</f>
        <v>627</v>
      </c>
      <c r="G52" s="29">
        <v>619</v>
      </c>
      <c r="H52" s="34"/>
      <c r="I52" s="34"/>
      <c r="J52" s="34"/>
      <c r="K52" s="24">
        <f>SUM(G52:J52)</f>
        <v>619</v>
      </c>
      <c r="L52" s="25">
        <f t="shared" si="25"/>
        <v>8</v>
      </c>
      <c r="M52" s="25">
        <f t="shared" si="25"/>
        <v>0</v>
      </c>
      <c r="N52" s="25"/>
      <c r="O52" s="25">
        <f>+E52-J52</f>
        <v>0</v>
      </c>
      <c r="P52" s="26">
        <f>SUM(L52:O52)</f>
        <v>8</v>
      </c>
      <c r="Q52" s="18"/>
    </row>
    <row r="53" spans="1:17" ht="12.75" customHeight="1">
      <c r="A53" s="22" t="s">
        <v>18</v>
      </c>
      <c r="B53" s="29">
        <v>1072</v>
      </c>
      <c r="C53" s="34"/>
      <c r="D53" s="34"/>
      <c r="E53" s="35"/>
      <c r="F53" s="24">
        <f>SUM(B53:E53)</f>
        <v>1072</v>
      </c>
      <c r="G53" s="29">
        <v>1038</v>
      </c>
      <c r="H53" s="34"/>
      <c r="I53" s="34"/>
      <c r="J53" s="34"/>
      <c r="K53" s="24">
        <f>SUM(G53:J53)</f>
        <v>1038</v>
      </c>
      <c r="L53" s="25">
        <f t="shared" si="25"/>
        <v>34</v>
      </c>
      <c r="M53" s="25">
        <f t="shared" si="25"/>
        <v>0</v>
      </c>
      <c r="N53" s="25"/>
      <c r="O53" s="25">
        <f>+E53-J53</f>
        <v>0</v>
      </c>
      <c r="P53" s="26">
        <f>SUM(L53:O53)</f>
        <v>34</v>
      </c>
      <c r="Q53" s="18"/>
    </row>
    <row r="54" spans="1:17" ht="12.75" customHeight="1">
      <c r="A54" s="22" t="s">
        <v>19</v>
      </c>
      <c r="B54" s="27">
        <f t="shared" ref="B54:K54" si="26">+B55+B56</f>
        <v>0</v>
      </c>
      <c r="C54" s="27">
        <f t="shared" si="26"/>
        <v>38</v>
      </c>
      <c r="D54" s="27">
        <f t="shared" si="26"/>
        <v>0</v>
      </c>
      <c r="E54" s="27">
        <f t="shared" si="26"/>
        <v>6</v>
      </c>
      <c r="F54" s="27">
        <f t="shared" si="26"/>
        <v>44</v>
      </c>
      <c r="G54" s="27">
        <f t="shared" si="26"/>
        <v>0</v>
      </c>
      <c r="H54" s="27">
        <f t="shared" si="26"/>
        <v>0</v>
      </c>
      <c r="I54" s="27">
        <f t="shared" si="26"/>
        <v>0</v>
      </c>
      <c r="J54" s="27">
        <f t="shared" si="26"/>
        <v>0</v>
      </c>
      <c r="K54" s="27">
        <f t="shared" si="26"/>
        <v>0</v>
      </c>
      <c r="L54" s="27">
        <f>+L55+L56</f>
        <v>0</v>
      </c>
      <c r="M54" s="27">
        <f>+M55+M56</f>
        <v>38</v>
      </c>
      <c r="N54" s="27"/>
      <c r="O54" s="27">
        <f>+O55+O56</f>
        <v>6</v>
      </c>
      <c r="P54" s="28">
        <f>+P55+P56</f>
        <v>44</v>
      </c>
      <c r="Q54" s="18"/>
    </row>
    <row r="55" spans="1:17" ht="12.75" customHeight="1">
      <c r="A55" s="23" t="s">
        <v>20</v>
      </c>
      <c r="B55" s="29"/>
      <c r="C55" s="29">
        <v>38</v>
      </c>
      <c r="D55" s="29"/>
      <c r="E55" s="30">
        <v>6</v>
      </c>
      <c r="F55" s="24">
        <f>SUM(B55:E55)</f>
        <v>44</v>
      </c>
      <c r="G55" s="29"/>
      <c r="H55" s="29"/>
      <c r="I55" s="29"/>
      <c r="J55" s="29"/>
      <c r="K55" s="24">
        <f>SUM(G55:J55)</f>
        <v>0</v>
      </c>
      <c r="L55" s="25">
        <f>+B55-G55</f>
        <v>0</v>
      </c>
      <c r="M55" s="25">
        <f>+C55-H55</f>
        <v>38</v>
      </c>
      <c r="N55" s="25"/>
      <c r="O55" s="25">
        <f>+E55-J55</f>
        <v>6</v>
      </c>
      <c r="P55" s="26">
        <f>SUM(L55:O55)</f>
        <v>44</v>
      </c>
      <c r="Q55" s="18"/>
    </row>
    <row r="56" spans="1:17" ht="12.75" customHeight="1">
      <c r="A56" s="23" t="s">
        <v>21</v>
      </c>
      <c r="B56" s="29"/>
      <c r="C56" s="29"/>
      <c r="D56" s="29"/>
      <c r="E56" s="30"/>
      <c r="F56" s="24">
        <f>SUM(B56:E56)</f>
        <v>0</v>
      </c>
      <c r="G56" s="29"/>
      <c r="H56" s="29"/>
      <c r="I56" s="29"/>
      <c r="J56" s="29"/>
      <c r="K56" s="24">
        <f>SUM(G56:J56)</f>
        <v>0</v>
      </c>
      <c r="L56" s="25">
        <f>+B56-G56</f>
        <v>0</v>
      </c>
      <c r="M56" s="25">
        <f>+C56-H56</f>
        <v>0</v>
      </c>
      <c r="N56" s="25"/>
      <c r="O56" s="25">
        <f>+E56-J56</f>
        <v>0</v>
      </c>
      <c r="P56" s="26">
        <f>SUM(L56:O56)</f>
        <v>0</v>
      </c>
      <c r="Q56" s="18"/>
    </row>
    <row r="57" spans="1:17" ht="12.75" customHeight="1">
      <c r="A57" s="217"/>
      <c r="B57" s="77"/>
      <c r="C57" s="77"/>
      <c r="D57" s="77"/>
      <c r="E57" s="75"/>
      <c r="F57" s="77"/>
      <c r="G57" s="82"/>
      <c r="H57" s="82"/>
      <c r="I57" s="82"/>
      <c r="J57" s="82"/>
      <c r="K57" s="82"/>
      <c r="L57" s="77"/>
      <c r="M57" s="77"/>
      <c r="N57" s="77"/>
      <c r="O57" s="77"/>
      <c r="P57" s="75"/>
      <c r="Q57" s="76"/>
    </row>
    <row r="58" spans="1:17" ht="12.75" customHeight="1">
      <c r="A58" s="33" t="s">
        <v>150</v>
      </c>
      <c r="B58" s="17">
        <f t="shared" ref="B58:K58" si="27">+B59+B63</f>
        <v>419558</v>
      </c>
      <c r="C58" s="17">
        <f t="shared" si="27"/>
        <v>155100</v>
      </c>
      <c r="D58" s="17">
        <f t="shared" si="27"/>
        <v>0</v>
      </c>
      <c r="E58" s="17">
        <f t="shared" si="27"/>
        <v>29491</v>
      </c>
      <c r="F58" s="17">
        <f t="shared" si="27"/>
        <v>604149</v>
      </c>
      <c r="G58" s="17">
        <f t="shared" si="27"/>
        <v>413223</v>
      </c>
      <c r="H58" s="17">
        <f t="shared" si="27"/>
        <v>109342</v>
      </c>
      <c r="I58" s="17">
        <f t="shared" si="27"/>
        <v>0</v>
      </c>
      <c r="J58" s="17">
        <f t="shared" si="27"/>
        <v>26080</v>
      </c>
      <c r="K58" s="17">
        <f t="shared" si="27"/>
        <v>548645</v>
      </c>
      <c r="L58" s="17">
        <f>+L59+L63</f>
        <v>6335</v>
      </c>
      <c r="M58" s="17">
        <f>+M59+M63</f>
        <v>45758</v>
      </c>
      <c r="N58" s="17"/>
      <c r="O58" s="17">
        <f>+O59+O63</f>
        <v>3411</v>
      </c>
      <c r="P58" s="17">
        <f>+P59+P63</f>
        <v>55504</v>
      </c>
      <c r="Q58" s="18">
        <f>+K58/F58</f>
        <v>0.90812862389907123</v>
      </c>
    </row>
    <row r="59" spans="1:17" ht="12.75" customHeight="1">
      <c r="A59" s="41" t="s">
        <v>15</v>
      </c>
      <c r="B59" s="20">
        <f t="shared" ref="B59:K59" si="28">+B60+B61+B62</f>
        <v>419558</v>
      </c>
      <c r="C59" s="20">
        <f t="shared" si="28"/>
        <v>150981</v>
      </c>
      <c r="D59" s="20">
        <f t="shared" si="28"/>
        <v>0</v>
      </c>
      <c r="E59" s="20">
        <f t="shared" si="28"/>
        <v>29491</v>
      </c>
      <c r="F59" s="20">
        <f t="shared" si="28"/>
        <v>600030</v>
      </c>
      <c r="G59" s="20">
        <f t="shared" si="28"/>
        <v>413223</v>
      </c>
      <c r="H59" s="20">
        <f t="shared" si="28"/>
        <v>109155</v>
      </c>
      <c r="I59" s="20">
        <f t="shared" si="28"/>
        <v>0</v>
      </c>
      <c r="J59" s="20">
        <f t="shared" si="28"/>
        <v>26080</v>
      </c>
      <c r="K59" s="20">
        <f t="shared" si="28"/>
        <v>548458</v>
      </c>
      <c r="L59" s="20">
        <f>+L60+L61+L62</f>
        <v>6335</v>
      </c>
      <c r="M59" s="20">
        <f>+M60+M61+M62</f>
        <v>41826</v>
      </c>
      <c r="N59" s="20"/>
      <c r="O59" s="20">
        <f>+O60+O61+O62</f>
        <v>3411</v>
      </c>
      <c r="P59" s="21">
        <f>+P60+P61+P62</f>
        <v>51572</v>
      </c>
      <c r="Q59" s="18"/>
    </row>
    <row r="60" spans="1:17" ht="12.75" customHeight="1">
      <c r="A60" s="22" t="s">
        <v>16</v>
      </c>
      <c r="B60" s="29">
        <v>22638</v>
      </c>
      <c r="C60" s="29">
        <v>29885</v>
      </c>
      <c r="D60" s="29"/>
      <c r="E60" s="30"/>
      <c r="F60" s="24">
        <f>SUM(B60:E60)</f>
        <v>52523</v>
      </c>
      <c r="G60" s="29">
        <v>19024</v>
      </c>
      <c r="H60" s="29">
        <v>18025</v>
      </c>
      <c r="I60" s="29"/>
      <c r="J60" s="29"/>
      <c r="K60" s="24">
        <f>SUM(G60:J60)</f>
        <v>37049</v>
      </c>
      <c r="L60" s="25">
        <f t="shared" ref="L60:M62" si="29">+B60-G60</f>
        <v>3614</v>
      </c>
      <c r="M60" s="25">
        <f t="shared" si="29"/>
        <v>11860</v>
      </c>
      <c r="N60" s="25"/>
      <c r="O60" s="25">
        <f>+E60-J60</f>
        <v>0</v>
      </c>
      <c r="P60" s="26">
        <f>SUM(L60:O60)</f>
        <v>15474</v>
      </c>
      <c r="Q60" s="18"/>
    </row>
    <row r="61" spans="1:17" ht="12.75" customHeight="1">
      <c r="A61" s="22" t="s">
        <v>17</v>
      </c>
      <c r="B61" s="29">
        <v>8525</v>
      </c>
      <c r="C61" s="34"/>
      <c r="D61" s="34"/>
      <c r="E61" s="30"/>
      <c r="F61" s="24">
        <f>SUM(B61:E61)</f>
        <v>8525</v>
      </c>
      <c r="G61" s="29">
        <f>10121-1596</f>
        <v>8525</v>
      </c>
      <c r="H61" s="29"/>
      <c r="I61" s="29"/>
      <c r="J61" s="29"/>
      <c r="K61" s="24">
        <f>SUM(G61:J61)</f>
        <v>8525</v>
      </c>
      <c r="L61" s="25">
        <f t="shared" si="29"/>
        <v>0</v>
      </c>
      <c r="M61" s="25">
        <f t="shared" si="29"/>
        <v>0</v>
      </c>
      <c r="N61" s="25"/>
      <c r="O61" s="25">
        <f>+E61-J61</f>
        <v>0</v>
      </c>
      <c r="P61" s="26">
        <f>SUM(L61:O61)</f>
        <v>0</v>
      </c>
      <c r="Q61" s="18"/>
    </row>
    <row r="62" spans="1:17" ht="12.75" customHeight="1">
      <c r="A62" s="22" t="s">
        <v>18</v>
      </c>
      <c r="B62" s="29">
        <v>388395</v>
      </c>
      <c r="C62" s="29">
        <v>121096</v>
      </c>
      <c r="D62" s="29"/>
      <c r="E62" s="30">
        <v>29491</v>
      </c>
      <c r="F62" s="24">
        <f>SUM(B62:E62)</f>
        <v>538982</v>
      </c>
      <c r="G62" s="29">
        <f>384078+1596</f>
        <v>385674</v>
      </c>
      <c r="H62" s="29">
        <v>91130</v>
      </c>
      <c r="I62" s="29"/>
      <c r="J62" s="29">
        <v>26080</v>
      </c>
      <c r="K62" s="24">
        <f>SUM(G62:J62)</f>
        <v>502884</v>
      </c>
      <c r="L62" s="25">
        <f t="shared" si="29"/>
        <v>2721</v>
      </c>
      <c r="M62" s="25">
        <f t="shared" si="29"/>
        <v>29966</v>
      </c>
      <c r="N62" s="25"/>
      <c r="O62" s="25">
        <f>+E62-J62</f>
        <v>3411</v>
      </c>
      <c r="P62" s="26">
        <f>SUM(L62:O62)</f>
        <v>36098</v>
      </c>
      <c r="Q62" s="18"/>
    </row>
    <row r="63" spans="1:17" ht="12.75" customHeight="1">
      <c r="A63" s="22" t="s">
        <v>19</v>
      </c>
      <c r="B63" s="27">
        <f t="shared" ref="B63:K63" si="30">+B64+B65</f>
        <v>0</v>
      </c>
      <c r="C63" s="27">
        <f t="shared" si="30"/>
        <v>4119</v>
      </c>
      <c r="D63" s="27">
        <f t="shared" si="30"/>
        <v>0</v>
      </c>
      <c r="E63" s="27">
        <f t="shared" si="30"/>
        <v>0</v>
      </c>
      <c r="F63" s="27">
        <f t="shared" si="30"/>
        <v>4119</v>
      </c>
      <c r="G63" s="27">
        <f t="shared" si="30"/>
        <v>0</v>
      </c>
      <c r="H63" s="27">
        <f t="shared" si="30"/>
        <v>187</v>
      </c>
      <c r="I63" s="27">
        <f t="shared" si="30"/>
        <v>0</v>
      </c>
      <c r="J63" s="27">
        <f t="shared" si="30"/>
        <v>0</v>
      </c>
      <c r="K63" s="27">
        <f t="shared" si="30"/>
        <v>187</v>
      </c>
      <c r="L63" s="27">
        <f>+L64+L65</f>
        <v>0</v>
      </c>
      <c r="M63" s="27">
        <f>+M64+M65</f>
        <v>3932</v>
      </c>
      <c r="N63" s="27"/>
      <c r="O63" s="27">
        <f>+O64+O65</f>
        <v>0</v>
      </c>
      <c r="P63" s="28">
        <f>+P64+P65</f>
        <v>3932</v>
      </c>
      <c r="Q63" s="18"/>
    </row>
    <row r="64" spans="1:17" ht="12.75" customHeight="1">
      <c r="A64" s="23" t="s">
        <v>20</v>
      </c>
      <c r="B64" s="29"/>
      <c r="C64" s="29">
        <v>4119</v>
      </c>
      <c r="D64" s="29"/>
      <c r="E64" s="30"/>
      <c r="F64" s="24">
        <f>SUM(B64:E64)</f>
        <v>4119</v>
      </c>
      <c r="G64" s="29"/>
      <c r="H64" s="29">
        <v>187</v>
      </c>
      <c r="I64" s="29"/>
      <c r="J64" s="29"/>
      <c r="K64" s="24">
        <f>SUM(G64:J64)</f>
        <v>187</v>
      </c>
      <c r="L64" s="25">
        <f>+B64-G64</f>
        <v>0</v>
      </c>
      <c r="M64" s="25">
        <f>+C64-H64</f>
        <v>3932</v>
      </c>
      <c r="N64" s="25"/>
      <c r="O64" s="25">
        <f>+E64-J64</f>
        <v>0</v>
      </c>
      <c r="P64" s="26">
        <f>SUM(L64:O64)</f>
        <v>3932</v>
      </c>
      <c r="Q64" s="18"/>
    </row>
    <row r="65" spans="1:17" ht="12.75" customHeight="1">
      <c r="A65" s="23" t="s">
        <v>21</v>
      </c>
      <c r="B65" s="29"/>
      <c r="C65" s="29"/>
      <c r="D65" s="29"/>
      <c r="E65" s="30"/>
      <c r="F65" s="24">
        <f>SUM(B65:E65)</f>
        <v>0</v>
      </c>
      <c r="G65" s="29"/>
      <c r="H65" s="29"/>
      <c r="I65" s="29"/>
      <c r="J65" s="29"/>
      <c r="K65" s="24">
        <f>SUM(G65:J65)</f>
        <v>0</v>
      </c>
      <c r="L65" s="25">
        <f>+B65-G65</f>
        <v>0</v>
      </c>
      <c r="M65" s="25">
        <f>+C65-H65</f>
        <v>0</v>
      </c>
      <c r="N65" s="25"/>
      <c r="O65" s="25">
        <f>+E65-J65</f>
        <v>0</v>
      </c>
      <c r="P65" s="26">
        <f>SUM(L65:O65)</f>
        <v>0</v>
      </c>
      <c r="Q65" s="18"/>
    </row>
    <row r="66" spans="1:17" ht="12.75" customHeight="1">
      <c r="A66" s="33"/>
      <c r="B66" s="24"/>
      <c r="C66" s="24"/>
      <c r="D66" s="24"/>
      <c r="E66" s="26"/>
      <c r="F66" s="24"/>
      <c r="G66" s="32"/>
      <c r="H66" s="32"/>
      <c r="I66" s="32"/>
      <c r="J66" s="32"/>
      <c r="K66" s="32"/>
      <c r="L66" s="24"/>
      <c r="M66" s="24"/>
      <c r="N66" s="24"/>
      <c r="O66" s="24"/>
      <c r="P66" s="26"/>
      <c r="Q66" s="18"/>
    </row>
    <row r="67" spans="1:17" ht="12.75" customHeight="1">
      <c r="A67" s="33" t="s">
        <v>151</v>
      </c>
      <c r="B67" s="17">
        <f t="shared" ref="B67:K67" si="31">+B68+B72</f>
        <v>3597562</v>
      </c>
      <c r="C67" s="17">
        <f t="shared" si="31"/>
        <v>1988497</v>
      </c>
      <c r="D67" s="17">
        <f t="shared" si="31"/>
        <v>0</v>
      </c>
      <c r="E67" s="17">
        <f t="shared" si="31"/>
        <v>447285</v>
      </c>
      <c r="F67" s="17">
        <f t="shared" si="31"/>
        <v>6033344</v>
      </c>
      <c r="G67" s="17">
        <f t="shared" si="31"/>
        <v>3576553</v>
      </c>
      <c r="H67" s="17">
        <f t="shared" si="31"/>
        <v>1571973</v>
      </c>
      <c r="I67" s="17">
        <f t="shared" si="31"/>
        <v>0</v>
      </c>
      <c r="J67" s="17">
        <f t="shared" si="31"/>
        <v>189975</v>
      </c>
      <c r="K67" s="17">
        <f t="shared" si="31"/>
        <v>5338501</v>
      </c>
      <c r="L67" s="17">
        <f>+L68+L72</f>
        <v>21009</v>
      </c>
      <c r="M67" s="17">
        <f>+M68+M72</f>
        <v>416524</v>
      </c>
      <c r="N67" s="17"/>
      <c r="O67" s="17">
        <f>+O68+O72</f>
        <v>257310</v>
      </c>
      <c r="P67" s="17">
        <f>+P68+P72</f>
        <v>694843</v>
      </c>
      <c r="Q67" s="18">
        <f>+K67/F67</f>
        <v>0.88483285554412283</v>
      </c>
    </row>
    <row r="68" spans="1:17" ht="12.75" customHeight="1">
      <c r="A68" s="41" t="s">
        <v>15</v>
      </c>
      <c r="B68" s="20">
        <f t="shared" ref="B68:K68" si="32">+B69+B70+B71</f>
        <v>3597562</v>
      </c>
      <c r="C68" s="20">
        <f t="shared" si="32"/>
        <v>1895504</v>
      </c>
      <c r="D68" s="20">
        <f t="shared" si="32"/>
        <v>0</v>
      </c>
      <c r="E68" s="20">
        <f t="shared" si="32"/>
        <v>110087</v>
      </c>
      <c r="F68" s="20">
        <f t="shared" si="32"/>
        <v>5603153</v>
      </c>
      <c r="G68" s="20">
        <f t="shared" si="32"/>
        <v>3576553</v>
      </c>
      <c r="H68" s="20">
        <f t="shared" si="32"/>
        <v>1568628</v>
      </c>
      <c r="I68" s="20">
        <f t="shared" si="32"/>
        <v>0</v>
      </c>
      <c r="J68" s="20">
        <f t="shared" si="32"/>
        <v>105911</v>
      </c>
      <c r="K68" s="20">
        <f t="shared" si="32"/>
        <v>5251092</v>
      </c>
      <c r="L68" s="20">
        <f>+L69+L70+L71</f>
        <v>21009</v>
      </c>
      <c r="M68" s="20">
        <f>+M69+M70+M71</f>
        <v>326876</v>
      </c>
      <c r="N68" s="20"/>
      <c r="O68" s="20">
        <f>+O69+O70+O71</f>
        <v>4176</v>
      </c>
      <c r="P68" s="21">
        <f>+P69+P70+P71</f>
        <v>352061</v>
      </c>
      <c r="Q68" s="18"/>
    </row>
    <row r="69" spans="1:17" ht="12.75" customHeight="1">
      <c r="A69" s="22" t="s">
        <v>16</v>
      </c>
      <c r="B69" s="29">
        <v>2382928</v>
      </c>
      <c r="C69" s="29">
        <v>1889244</v>
      </c>
      <c r="D69" s="29"/>
      <c r="E69" s="30">
        <v>110087</v>
      </c>
      <c r="F69" s="24">
        <f>SUM(B69:E69)</f>
        <v>4382259</v>
      </c>
      <c r="G69" s="29">
        <v>2382928</v>
      </c>
      <c r="H69" s="29">
        <v>1568198</v>
      </c>
      <c r="I69" s="29"/>
      <c r="J69" s="29">
        <v>105911</v>
      </c>
      <c r="K69" s="24">
        <f>SUM(G69:J69)</f>
        <v>4057037</v>
      </c>
      <c r="L69" s="25">
        <f t="shared" ref="L69:M71" si="33">+B69-G69</f>
        <v>0</v>
      </c>
      <c r="M69" s="25">
        <f t="shared" si="33"/>
        <v>321046</v>
      </c>
      <c r="N69" s="25"/>
      <c r="O69" s="25">
        <f>+E69-J69</f>
        <v>4176</v>
      </c>
      <c r="P69" s="26">
        <f>SUM(L69:O69)</f>
        <v>325222</v>
      </c>
      <c r="Q69" s="18"/>
    </row>
    <row r="70" spans="1:17" ht="12.75" customHeight="1">
      <c r="A70" s="22" t="s">
        <v>17</v>
      </c>
      <c r="B70" s="29">
        <v>1209426</v>
      </c>
      <c r="C70" s="29">
        <v>6260</v>
      </c>
      <c r="D70" s="34"/>
      <c r="E70" s="30"/>
      <c r="F70" s="24">
        <f>SUM(B70:E70)</f>
        <v>1215686</v>
      </c>
      <c r="G70" s="29">
        <v>1188517</v>
      </c>
      <c r="H70" s="29">
        <v>430</v>
      </c>
      <c r="I70" s="34"/>
      <c r="J70" s="34"/>
      <c r="K70" s="24">
        <f>SUM(G70:J70)</f>
        <v>1188947</v>
      </c>
      <c r="L70" s="25">
        <f t="shared" si="33"/>
        <v>20909</v>
      </c>
      <c r="M70" s="25">
        <f t="shared" si="33"/>
        <v>5830</v>
      </c>
      <c r="N70" s="25"/>
      <c r="O70" s="25">
        <f>+E70-J70</f>
        <v>0</v>
      </c>
      <c r="P70" s="26">
        <f>SUM(L70:O70)</f>
        <v>26739</v>
      </c>
      <c r="Q70" s="18"/>
    </row>
    <row r="71" spans="1:17" ht="12.75" customHeight="1">
      <c r="A71" s="22" t="s">
        <v>18</v>
      </c>
      <c r="B71" s="29">
        <v>5208</v>
      </c>
      <c r="C71" s="34"/>
      <c r="D71" s="34"/>
      <c r="E71" s="35"/>
      <c r="F71" s="24">
        <f>SUM(B71:E71)</f>
        <v>5208</v>
      </c>
      <c r="G71" s="29">
        <v>5108</v>
      </c>
      <c r="H71" s="34"/>
      <c r="I71" s="34"/>
      <c r="J71" s="34"/>
      <c r="K71" s="24">
        <f>SUM(G71:J71)</f>
        <v>5108</v>
      </c>
      <c r="L71" s="25">
        <f t="shared" si="33"/>
        <v>100</v>
      </c>
      <c r="M71" s="25">
        <f t="shared" si="33"/>
        <v>0</v>
      </c>
      <c r="N71" s="25"/>
      <c r="O71" s="25">
        <f>+E71-J71</f>
        <v>0</v>
      </c>
      <c r="P71" s="26">
        <f>SUM(L71:O71)</f>
        <v>100</v>
      </c>
      <c r="Q71" s="18"/>
    </row>
    <row r="72" spans="1:17" ht="12.75" customHeight="1">
      <c r="A72" s="22" t="s">
        <v>19</v>
      </c>
      <c r="B72" s="27">
        <f t="shared" ref="B72:K72" si="34">+B73+B74</f>
        <v>0</v>
      </c>
      <c r="C72" s="27">
        <f t="shared" si="34"/>
        <v>92993</v>
      </c>
      <c r="D72" s="27">
        <f t="shared" si="34"/>
        <v>0</v>
      </c>
      <c r="E72" s="27">
        <f t="shared" si="34"/>
        <v>337198</v>
      </c>
      <c r="F72" s="27">
        <f t="shared" si="34"/>
        <v>430191</v>
      </c>
      <c r="G72" s="27">
        <f t="shared" si="34"/>
        <v>0</v>
      </c>
      <c r="H72" s="27">
        <f t="shared" si="34"/>
        <v>3345</v>
      </c>
      <c r="I72" s="27">
        <f t="shared" si="34"/>
        <v>0</v>
      </c>
      <c r="J72" s="27">
        <f t="shared" si="34"/>
        <v>84064</v>
      </c>
      <c r="K72" s="27">
        <f t="shared" si="34"/>
        <v>87409</v>
      </c>
      <c r="L72" s="27">
        <f>+L73+L74</f>
        <v>0</v>
      </c>
      <c r="M72" s="27">
        <f>+M73+M74</f>
        <v>89648</v>
      </c>
      <c r="N72" s="27"/>
      <c r="O72" s="27">
        <f>+O73+O74</f>
        <v>253134</v>
      </c>
      <c r="P72" s="28">
        <f>+P73+P74</f>
        <v>342782</v>
      </c>
      <c r="Q72" s="18"/>
    </row>
    <row r="73" spans="1:17" ht="12.75" customHeight="1">
      <c r="A73" s="23" t="s">
        <v>20</v>
      </c>
      <c r="B73" s="29"/>
      <c r="C73" s="29">
        <v>92993</v>
      </c>
      <c r="D73" s="29"/>
      <c r="E73" s="30">
        <v>337198</v>
      </c>
      <c r="F73" s="24">
        <f>SUM(B73:E73)</f>
        <v>430191</v>
      </c>
      <c r="G73" s="29"/>
      <c r="H73" s="29">
        <v>3345</v>
      </c>
      <c r="I73" s="29"/>
      <c r="J73" s="29">
        <v>84064</v>
      </c>
      <c r="K73" s="24">
        <f>SUM(G73:J73)</f>
        <v>87409</v>
      </c>
      <c r="L73" s="25">
        <f>+B73-G73</f>
        <v>0</v>
      </c>
      <c r="M73" s="25">
        <f>+C73-H73</f>
        <v>89648</v>
      </c>
      <c r="N73" s="25"/>
      <c r="O73" s="25">
        <f>+E73-J73</f>
        <v>253134</v>
      </c>
      <c r="P73" s="26">
        <f>SUM(L73:O73)</f>
        <v>342782</v>
      </c>
      <c r="Q73" s="18"/>
    </row>
    <row r="74" spans="1:17" ht="12.75" customHeight="1">
      <c r="A74" s="23" t="s">
        <v>21</v>
      </c>
      <c r="B74" s="29"/>
      <c r="C74" s="29"/>
      <c r="D74" s="29"/>
      <c r="E74" s="30"/>
      <c r="F74" s="24">
        <f>SUM(B74:E74)</f>
        <v>0</v>
      </c>
      <c r="G74" s="29"/>
      <c r="H74" s="29"/>
      <c r="I74" s="29"/>
      <c r="J74" s="29"/>
      <c r="K74" s="24">
        <f>SUM(G74:J74)</f>
        <v>0</v>
      </c>
      <c r="L74" s="25">
        <f>+B74-G74</f>
        <v>0</v>
      </c>
      <c r="M74" s="25">
        <f>+C74-H74</f>
        <v>0</v>
      </c>
      <c r="N74" s="25"/>
      <c r="O74" s="25">
        <f>+E74-J74</f>
        <v>0</v>
      </c>
      <c r="P74" s="26">
        <f>SUM(L74:O74)</f>
        <v>0</v>
      </c>
      <c r="Q74" s="18"/>
    </row>
    <row r="75" spans="1:17" ht="12.75" customHeight="1">
      <c r="A75" s="33"/>
      <c r="B75" s="24"/>
      <c r="C75" s="24"/>
      <c r="D75" s="24"/>
      <c r="E75" s="26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6"/>
      <c r="Q75" s="18"/>
    </row>
    <row r="76" spans="1:17" ht="12.75" customHeight="1">
      <c r="A76" s="33" t="s">
        <v>152</v>
      </c>
      <c r="B76" s="17">
        <f t="shared" ref="B76:K76" si="35">+B77+B81</f>
        <v>15014</v>
      </c>
      <c r="C76" s="17">
        <f t="shared" si="35"/>
        <v>12214</v>
      </c>
      <c r="D76" s="17">
        <f t="shared" si="35"/>
        <v>0</v>
      </c>
      <c r="E76" s="17">
        <f t="shared" si="35"/>
        <v>1400</v>
      </c>
      <c r="F76" s="17">
        <f t="shared" si="35"/>
        <v>28628</v>
      </c>
      <c r="G76" s="17">
        <f t="shared" si="35"/>
        <v>14977</v>
      </c>
      <c r="H76" s="17">
        <f t="shared" si="35"/>
        <v>9968</v>
      </c>
      <c r="I76" s="17">
        <f t="shared" si="35"/>
        <v>0</v>
      </c>
      <c r="J76" s="17">
        <f t="shared" si="35"/>
        <v>80</v>
      </c>
      <c r="K76" s="17">
        <f t="shared" si="35"/>
        <v>25025</v>
      </c>
      <c r="L76" s="17">
        <f>+L77+L81</f>
        <v>37</v>
      </c>
      <c r="M76" s="17">
        <f>+M77+M81</f>
        <v>2246</v>
      </c>
      <c r="N76" s="17"/>
      <c r="O76" s="17">
        <f>+O77+O81</f>
        <v>1320</v>
      </c>
      <c r="P76" s="17">
        <f>+P77+P81</f>
        <v>3603</v>
      </c>
      <c r="Q76" s="18">
        <f>+K76/F76</f>
        <v>0.87414419449490011</v>
      </c>
    </row>
    <row r="77" spans="1:17" ht="12.75" customHeight="1">
      <c r="A77" s="41" t="s">
        <v>15</v>
      </c>
      <c r="B77" s="20">
        <f t="shared" ref="B77:K77" si="36">+B78+B79+B80</f>
        <v>15014</v>
      </c>
      <c r="C77" s="20">
        <f t="shared" si="36"/>
        <v>10441</v>
      </c>
      <c r="D77" s="20">
        <f t="shared" si="36"/>
        <v>0</v>
      </c>
      <c r="E77" s="20">
        <f t="shared" si="36"/>
        <v>80</v>
      </c>
      <c r="F77" s="20">
        <f t="shared" si="36"/>
        <v>25535</v>
      </c>
      <c r="G77" s="20">
        <f t="shared" si="36"/>
        <v>14977</v>
      </c>
      <c r="H77" s="20">
        <f t="shared" si="36"/>
        <v>9968</v>
      </c>
      <c r="I77" s="20">
        <f t="shared" si="36"/>
        <v>0</v>
      </c>
      <c r="J77" s="20">
        <f t="shared" si="36"/>
        <v>80</v>
      </c>
      <c r="K77" s="20">
        <f t="shared" si="36"/>
        <v>25025</v>
      </c>
      <c r="L77" s="20">
        <f>+L78+L79+L80</f>
        <v>37</v>
      </c>
      <c r="M77" s="20">
        <f>+M78+M79+M80</f>
        <v>473</v>
      </c>
      <c r="N77" s="20"/>
      <c r="O77" s="20">
        <f>+O78+O79+O80</f>
        <v>0</v>
      </c>
      <c r="P77" s="21">
        <f>+P78+P79+P80</f>
        <v>510</v>
      </c>
      <c r="Q77" s="18"/>
    </row>
    <row r="78" spans="1:17" ht="12.75" customHeight="1">
      <c r="A78" s="22" t="s">
        <v>16</v>
      </c>
      <c r="B78" s="29">
        <v>12694</v>
      </c>
      <c r="C78" s="29">
        <v>10441</v>
      </c>
      <c r="D78" s="29"/>
      <c r="E78" s="30">
        <v>80</v>
      </c>
      <c r="F78" s="24">
        <f>SUM(B78:E78)</f>
        <v>23215</v>
      </c>
      <c r="G78" s="29">
        <v>12694</v>
      </c>
      <c r="H78" s="29">
        <v>9968</v>
      </c>
      <c r="I78" s="29"/>
      <c r="J78" s="29">
        <v>80</v>
      </c>
      <c r="K78" s="24">
        <f>SUM(G78:J78)</f>
        <v>22742</v>
      </c>
      <c r="L78" s="25">
        <f t="shared" ref="L78:M80" si="37">+B78-G78</f>
        <v>0</v>
      </c>
      <c r="M78" s="25">
        <f t="shared" si="37"/>
        <v>473</v>
      </c>
      <c r="N78" s="25"/>
      <c r="O78" s="25">
        <f>+E78-J78</f>
        <v>0</v>
      </c>
      <c r="P78" s="26">
        <f>SUM(L78:O78)</f>
        <v>473</v>
      </c>
      <c r="Q78" s="18"/>
    </row>
    <row r="79" spans="1:17" ht="12.75" customHeight="1">
      <c r="A79" s="22" t="s">
        <v>17</v>
      </c>
      <c r="B79" s="29">
        <v>1169</v>
      </c>
      <c r="C79" s="34"/>
      <c r="D79" s="34"/>
      <c r="E79" s="30"/>
      <c r="F79" s="24">
        <f>SUM(B79:E79)</f>
        <v>1169</v>
      </c>
      <c r="G79" s="29">
        <v>1137</v>
      </c>
      <c r="H79" s="34"/>
      <c r="I79" s="34"/>
      <c r="J79" s="34"/>
      <c r="K79" s="24">
        <f>SUM(G79:J79)</f>
        <v>1137</v>
      </c>
      <c r="L79" s="25">
        <f t="shared" si="37"/>
        <v>32</v>
      </c>
      <c r="M79" s="25">
        <f t="shared" si="37"/>
        <v>0</v>
      </c>
      <c r="N79" s="25"/>
      <c r="O79" s="25">
        <f>+E79-J79</f>
        <v>0</v>
      </c>
      <c r="P79" s="26">
        <f>SUM(L79:O79)</f>
        <v>32</v>
      </c>
      <c r="Q79" s="18"/>
    </row>
    <row r="80" spans="1:17" ht="12.75" customHeight="1">
      <c r="A80" s="22" t="s">
        <v>18</v>
      </c>
      <c r="B80" s="29">
        <v>1151</v>
      </c>
      <c r="C80" s="34"/>
      <c r="D80" s="34"/>
      <c r="E80" s="35"/>
      <c r="F80" s="24">
        <f>SUM(B80:E80)</f>
        <v>1151</v>
      </c>
      <c r="G80" s="29">
        <v>1146</v>
      </c>
      <c r="H80" s="34"/>
      <c r="I80" s="34"/>
      <c r="J80" s="34"/>
      <c r="K80" s="24">
        <f>SUM(G80:J80)</f>
        <v>1146</v>
      </c>
      <c r="L80" s="25">
        <f t="shared" si="37"/>
        <v>5</v>
      </c>
      <c r="M80" s="25">
        <f t="shared" si="37"/>
        <v>0</v>
      </c>
      <c r="N80" s="25"/>
      <c r="O80" s="25">
        <f>+E80-J80</f>
        <v>0</v>
      </c>
      <c r="P80" s="26">
        <f>SUM(L80:O80)</f>
        <v>5</v>
      </c>
      <c r="Q80" s="18"/>
    </row>
    <row r="81" spans="1:17" ht="12.75" customHeight="1">
      <c r="A81" s="22" t="s">
        <v>19</v>
      </c>
      <c r="B81" s="27">
        <f t="shared" ref="B81:K81" si="38">+B82+B83</f>
        <v>0</v>
      </c>
      <c r="C81" s="27">
        <f t="shared" si="38"/>
        <v>1773</v>
      </c>
      <c r="D81" s="27">
        <f t="shared" si="38"/>
        <v>0</v>
      </c>
      <c r="E81" s="27">
        <f t="shared" si="38"/>
        <v>1320</v>
      </c>
      <c r="F81" s="27">
        <f t="shared" si="38"/>
        <v>3093</v>
      </c>
      <c r="G81" s="27">
        <f t="shared" si="38"/>
        <v>0</v>
      </c>
      <c r="H81" s="27">
        <f t="shared" si="38"/>
        <v>0</v>
      </c>
      <c r="I81" s="27">
        <f t="shared" si="38"/>
        <v>0</v>
      </c>
      <c r="J81" s="27">
        <f t="shared" si="38"/>
        <v>0</v>
      </c>
      <c r="K81" s="27">
        <f t="shared" si="38"/>
        <v>0</v>
      </c>
      <c r="L81" s="27">
        <f>+L82+L83</f>
        <v>0</v>
      </c>
      <c r="M81" s="27">
        <f>+M82+M83</f>
        <v>1773</v>
      </c>
      <c r="N81" s="27"/>
      <c r="O81" s="27">
        <f>+O82+O83</f>
        <v>1320</v>
      </c>
      <c r="P81" s="28">
        <f>+P82+P83</f>
        <v>3093</v>
      </c>
      <c r="Q81" s="18"/>
    </row>
    <row r="82" spans="1:17" ht="12.75" customHeight="1">
      <c r="A82" s="23" t="s">
        <v>20</v>
      </c>
      <c r="B82" s="29"/>
      <c r="C82" s="29">
        <v>1773</v>
      </c>
      <c r="D82" s="29"/>
      <c r="E82" s="30">
        <v>1320</v>
      </c>
      <c r="F82" s="24">
        <f>SUM(B82:E82)</f>
        <v>3093</v>
      </c>
      <c r="G82" s="29"/>
      <c r="H82" s="29"/>
      <c r="I82" s="29"/>
      <c r="J82" s="29"/>
      <c r="K82" s="24">
        <f>SUM(G82:J82)</f>
        <v>0</v>
      </c>
      <c r="L82" s="25">
        <f>+B82-G82</f>
        <v>0</v>
      </c>
      <c r="M82" s="25">
        <f>+C82-H82</f>
        <v>1773</v>
      </c>
      <c r="N82" s="25"/>
      <c r="O82" s="25">
        <f>+E82-J82</f>
        <v>1320</v>
      </c>
      <c r="P82" s="26">
        <f>SUM(L82:O82)</f>
        <v>3093</v>
      </c>
      <c r="Q82" s="18"/>
    </row>
    <row r="83" spans="1:17" ht="12.75" customHeight="1">
      <c r="A83" s="23" t="s">
        <v>21</v>
      </c>
      <c r="B83" s="29"/>
      <c r="C83" s="29"/>
      <c r="D83" s="29"/>
      <c r="E83" s="30"/>
      <c r="F83" s="24">
        <f>SUM(B83:E83)</f>
        <v>0</v>
      </c>
      <c r="G83" s="29"/>
      <c r="H83" s="29"/>
      <c r="I83" s="29"/>
      <c r="J83" s="29"/>
      <c r="K83" s="24">
        <f>SUM(G83:J83)</f>
        <v>0</v>
      </c>
      <c r="L83" s="25">
        <f>+B83-G83</f>
        <v>0</v>
      </c>
      <c r="M83" s="25">
        <f>+C83-H83</f>
        <v>0</v>
      </c>
      <c r="N83" s="25"/>
      <c r="O83" s="25">
        <f>+E83-J83</f>
        <v>0</v>
      </c>
      <c r="P83" s="26">
        <f>SUM(L83:O83)</f>
        <v>0</v>
      </c>
      <c r="Q83" s="18"/>
    </row>
    <row r="84" spans="1:17" ht="12.75" customHeight="1">
      <c r="A84" s="85"/>
      <c r="B84" s="77"/>
      <c r="C84" s="77"/>
      <c r="D84" s="77"/>
      <c r="E84" s="75"/>
      <c r="F84" s="77"/>
      <c r="G84" s="82"/>
      <c r="H84" s="82"/>
      <c r="I84" s="82"/>
      <c r="J84" s="82"/>
      <c r="K84" s="82"/>
      <c r="L84" s="77"/>
      <c r="M84" s="77"/>
      <c r="N84" s="77"/>
      <c r="O84" s="77"/>
      <c r="P84" s="75"/>
      <c r="Q84" s="76"/>
    </row>
    <row r="85" spans="1:17">
      <c r="A85" s="80"/>
    </row>
    <row r="86" spans="1:17">
      <c r="A86" s="80"/>
    </row>
    <row r="87" spans="1:17">
      <c r="A87" s="80"/>
    </row>
    <row r="88" spans="1:17">
      <c r="A88" s="80"/>
    </row>
    <row r="89" spans="1:17">
      <c r="A89" s="80"/>
    </row>
    <row r="90" spans="1:17">
      <c r="A90" s="80"/>
    </row>
    <row r="91" spans="1:17">
      <c r="A91" s="80"/>
    </row>
    <row r="92" spans="1:17">
      <c r="A92" s="80"/>
    </row>
    <row r="93" spans="1:17">
      <c r="A93" s="80"/>
    </row>
    <row r="94" spans="1:17">
      <c r="A94" s="80"/>
    </row>
    <row r="95" spans="1:17">
      <c r="A95" s="80"/>
    </row>
    <row r="96" spans="1:17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1" fitToWidth="0" fitToHeight="0" orientation="landscape" r:id="rId1"/>
  <headerFooter alignWithMargins="0">
    <oddFooter>Page &amp;P of &amp;N</oddFooter>
  </headerFooter>
  <rowBreaks count="1" manualBreakCount="1">
    <brk id="57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R1145"/>
  <sheetViews>
    <sheetView showRuler="0" zoomScaleSheetLayoutView="100" workbookViewId="0">
      <pane xSplit="1" ySplit="8" topLeftCell="B73" activePane="bottomRight" state="frozen"/>
      <selection activeCell="A155" sqref="A155:Q155"/>
      <selection pane="topRight" activeCell="A155" sqref="A155:Q155"/>
      <selection pane="bottomLeft" activeCell="A155" sqref="A155:Q155"/>
      <selection pane="bottomRight" activeCell="A155" sqref="A155:Q155"/>
    </sheetView>
  </sheetViews>
  <sheetFormatPr defaultRowHeight="12.75"/>
  <cols>
    <col min="1" max="1" width="41.285156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3" width="9.7109375" style="5" customWidth="1"/>
    <col min="14" max="14" width="6.85546875" style="5" bestFit="1" customWidth="1"/>
    <col min="15" max="15" width="9.28515625" style="5" customWidth="1"/>
    <col min="16" max="16" width="8.7109375" style="5" bestFit="1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1" t="s">
        <v>153</v>
      </c>
      <c r="B10" s="17">
        <f t="shared" ref="B10:P10" si="0">+B11+B15</f>
        <v>1612846</v>
      </c>
      <c r="C10" s="17">
        <f t="shared" si="0"/>
        <v>3101850</v>
      </c>
      <c r="D10" s="17">
        <f t="shared" si="0"/>
        <v>680</v>
      </c>
      <c r="E10" s="17">
        <f t="shared" si="0"/>
        <v>288070</v>
      </c>
      <c r="F10" s="17">
        <f t="shared" si="0"/>
        <v>5003446</v>
      </c>
      <c r="G10" s="17">
        <f t="shared" si="0"/>
        <v>1331746</v>
      </c>
      <c r="H10" s="17">
        <f t="shared" si="0"/>
        <v>1223256</v>
      </c>
      <c r="I10" s="17">
        <f t="shared" si="0"/>
        <v>18</v>
      </c>
      <c r="J10" s="17">
        <f t="shared" si="0"/>
        <v>18473</v>
      </c>
      <c r="K10" s="17">
        <f t="shared" si="0"/>
        <v>2573493</v>
      </c>
      <c r="L10" s="17">
        <f t="shared" si="0"/>
        <v>281100</v>
      </c>
      <c r="M10" s="17">
        <f t="shared" si="0"/>
        <v>1878594</v>
      </c>
      <c r="N10" s="17">
        <f t="shared" si="0"/>
        <v>662</v>
      </c>
      <c r="O10" s="17">
        <f t="shared" si="0"/>
        <v>269597</v>
      </c>
      <c r="P10" s="17">
        <f t="shared" si="0"/>
        <v>2429953</v>
      </c>
      <c r="Q10" s="18">
        <f>+K10/F10</f>
        <v>0.51434411403660596</v>
      </c>
    </row>
    <row r="11" spans="1:18" ht="12.75" customHeight="1">
      <c r="A11" s="41" t="s">
        <v>15</v>
      </c>
      <c r="B11" s="20">
        <f t="shared" ref="B11:P11" si="1">+B12+B13+B14</f>
        <v>1612846</v>
      </c>
      <c r="C11" s="20">
        <f t="shared" si="1"/>
        <v>2539323</v>
      </c>
      <c r="D11" s="20">
        <f t="shared" si="1"/>
        <v>680</v>
      </c>
      <c r="E11" s="20">
        <f t="shared" si="1"/>
        <v>284441</v>
      </c>
      <c r="F11" s="20">
        <f t="shared" si="1"/>
        <v>4437290</v>
      </c>
      <c r="G11" s="20">
        <f t="shared" si="1"/>
        <v>1331746</v>
      </c>
      <c r="H11" s="20">
        <f t="shared" si="1"/>
        <v>1199488</v>
      </c>
      <c r="I11" s="20">
        <f t="shared" si="1"/>
        <v>18</v>
      </c>
      <c r="J11" s="20">
        <f t="shared" si="1"/>
        <v>18473</v>
      </c>
      <c r="K11" s="20">
        <f t="shared" si="1"/>
        <v>2549725</v>
      </c>
      <c r="L11" s="20">
        <f t="shared" si="1"/>
        <v>281100</v>
      </c>
      <c r="M11" s="20">
        <f t="shared" si="1"/>
        <v>1339835</v>
      </c>
      <c r="N11" s="20">
        <f t="shared" si="1"/>
        <v>662</v>
      </c>
      <c r="O11" s="20">
        <f t="shared" si="1"/>
        <v>265968</v>
      </c>
      <c r="P11" s="21">
        <f t="shared" si="1"/>
        <v>1887565</v>
      </c>
      <c r="Q11" s="18"/>
    </row>
    <row r="12" spans="1:18" ht="12.75" customHeight="1">
      <c r="A12" s="22" t="s">
        <v>16</v>
      </c>
      <c r="B12" s="23">
        <f t="shared" ref="B12:E14" si="2">+B21+B30+B39+B48+B57+B66+B75</f>
        <v>1381954</v>
      </c>
      <c r="C12" s="23">
        <f t="shared" si="2"/>
        <v>2191450</v>
      </c>
      <c r="D12" s="23">
        <f t="shared" si="2"/>
        <v>680</v>
      </c>
      <c r="E12" s="23">
        <f t="shared" si="2"/>
        <v>281057</v>
      </c>
      <c r="F12" s="24">
        <f>SUM(B12:E12)</f>
        <v>3855141</v>
      </c>
      <c r="G12" s="23">
        <f t="shared" ref="G12:J14" si="3">+G21+G30+G39+G48+G57+G66+G75</f>
        <v>1150167</v>
      </c>
      <c r="H12" s="23">
        <f t="shared" si="3"/>
        <v>1071298</v>
      </c>
      <c r="I12" s="23">
        <f t="shared" si="3"/>
        <v>18</v>
      </c>
      <c r="J12" s="23">
        <f t="shared" si="3"/>
        <v>18473</v>
      </c>
      <c r="K12" s="24">
        <f>SUM(G12:J12)</f>
        <v>2239956</v>
      </c>
      <c r="L12" s="25">
        <f t="shared" ref="L12:O14" si="4">+B12-G12</f>
        <v>231787</v>
      </c>
      <c r="M12" s="25">
        <f t="shared" si="4"/>
        <v>1120152</v>
      </c>
      <c r="N12" s="25">
        <f t="shared" si="4"/>
        <v>662</v>
      </c>
      <c r="O12" s="25">
        <f t="shared" si="4"/>
        <v>262584</v>
      </c>
      <c r="P12" s="26">
        <f>SUM(L12:O12)</f>
        <v>1615185</v>
      </c>
      <c r="Q12" s="18"/>
    </row>
    <row r="13" spans="1:18" ht="12.75" customHeight="1">
      <c r="A13" s="23" t="s">
        <v>17</v>
      </c>
      <c r="B13" s="23">
        <f t="shared" si="2"/>
        <v>107873</v>
      </c>
      <c r="C13" s="23">
        <f t="shared" si="2"/>
        <v>202347</v>
      </c>
      <c r="D13" s="23">
        <f t="shared" si="2"/>
        <v>0</v>
      </c>
      <c r="E13" s="23">
        <f t="shared" si="2"/>
        <v>0</v>
      </c>
      <c r="F13" s="24">
        <f>SUM(B13:E13)</f>
        <v>310220</v>
      </c>
      <c r="G13" s="23">
        <f t="shared" si="3"/>
        <v>80956</v>
      </c>
      <c r="H13" s="23">
        <f t="shared" si="3"/>
        <v>0</v>
      </c>
      <c r="I13" s="23">
        <f t="shared" si="3"/>
        <v>0</v>
      </c>
      <c r="J13" s="23">
        <f t="shared" si="3"/>
        <v>0</v>
      </c>
      <c r="K13" s="24">
        <f>SUM(G13:J13)</f>
        <v>80956</v>
      </c>
      <c r="L13" s="25">
        <f t="shared" si="4"/>
        <v>26917</v>
      </c>
      <c r="M13" s="25">
        <f t="shared" si="4"/>
        <v>202347</v>
      </c>
      <c r="N13" s="25">
        <f t="shared" si="4"/>
        <v>0</v>
      </c>
      <c r="O13" s="25">
        <f t="shared" si="4"/>
        <v>0</v>
      </c>
      <c r="P13" s="26">
        <f>SUM(L13:O13)</f>
        <v>229264</v>
      </c>
      <c r="Q13" s="18"/>
    </row>
    <row r="14" spans="1:18" ht="12.75" customHeight="1">
      <c r="A14" s="22" t="s">
        <v>18</v>
      </c>
      <c r="B14" s="23">
        <f t="shared" si="2"/>
        <v>123019</v>
      </c>
      <c r="C14" s="23">
        <f t="shared" si="2"/>
        <v>145526</v>
      </c>
      <c r="D14" s="23">
        <f t="shared" si="2"/>
        <v>0</v>
      </c>
      <c r="E14" s="23">
        <f t="shared" si="2"/>
        <v>3384</v>
      </c>
      <c r="F14" s="24">
        <f>SUM(B14:E14)</f>
        <v>271929</v>
      </c>
      <c r="G14" s="23">
        <f t="shared" si="3"/>
        <v>100623</v>
      </c>
      <c r="H14" s="23">
        <f t="shared" si="3"/>
        <v>128190</v>
      </c>
      <c r="I14" s="23">
        <f t="shared" si="3"/>
        <v>0</v>
      </c>
      <c r="J14" s="23">
        <f t="shared" si="3"/>
        <v>0</v>
      </c>
      <c r="K14" s="24">
        <f>SUM(G14:J14)</f>
        <v>228813</v>
      </c>
      <c r="L14" s="25">
        <f t="shared" si="4"/>
        <v>22396</v>
      </c>
      <c r="M14" s="25">
        <f t="shared" si="4"/>
        <v>17336</v>
      </c>
      <c r="N14" s="25">
        <f t="shared" si="4"/>
        <v>0</v>
      </c>
      <c r="O14" s="25">
        <f t="shared" si="4"/>
        <v>3384</v>
      </c>
      <c r="P14" s="26">
        <f>SUM(L14:O14)</f>
        <v>43116</v>
      </c>
      <c r="Q14" s="18"/>
    </row>
    <row r="15" spans="1:18" ht="12.75" customHeight="1">
      <c r="A15" s="22" t="s">
        <v>19</v>
      </c>
      <c r="B15" s="44">
        <f t="shared" ref="B15:P15" si="5">+B16+B17</f>
        <v>0</v>
      </c>
      <c r="C15" s="44">
        <f t="shared" si="5"/>
        <v>562527</v>
      </c>
      <c r="D15" s="44">
        <f t="shared" si="5"/>
        <v>0</v>
      </c>
      <c r="E15" s="45">
        <f t="shared" si="5"/>
        <v>3629</v>
      </c>
      <c r="F15" s="44">
        <f t="shared" si="5"/>
        <v>566156</v>
      </c>
      <c r="G15" s="44">
        <f t="shared" si="5"/>
        <v>0</v>
      </c>
      <c r="H15" s="44">
        <f t="shared" si="5"/>
        <v>23768</v>
      </c>
      <c r="I15" s="44">
        <f t="shared" si="5"/>
        <v>0</v>
      </c>
      <c r="J15" s="45">
        <f t="shared" si="5"/>
        <v>0</v>
      </c>
      <c r="K15" s="44">
        <f t="shared" si="5"/>
        <v>23768</v>
      </c>
      <c r="L15" s="44">
        <f t="shared" si="5"/>
        <v>0</v>
      </c>
      <c r="M15" s="44">
        <f t="shared" si="5"/>
        <v>538759</v>
      </c>
      <c r="N15" s="44">
        <f t="shared" si="5"/>
        <v>0</v>
      </c>
      <c r="O15" s="44">
        <f t="shared" si="5"/>
        <v>3629</v>
      </c>
      <c r="P15" s="45">
        <f t="shared" si="5"/>
        <v>542388</v>
      </c>
      <c r="Q15" s="18"/>
    </row>
    <row r="16" spans="1:18" ht="12.75" customHeight="1">
      <c r="A16" s="23" t="s">
        <v>20</v>
      </c>
      <c r="B16" s="23">
        <f t="shared" ref="B16:E17" si="6">+B25+B34+B43+B52+B61+B70+B79</f>
        <v>0</v>
      </c>
      <c r="C16" s="23">
        <f t="shared" si="6"/>
        <v>538758</v>
      </c>
      <c r="D16" s="23">
        <f t="shared" si="6"/>
        <v>0</v>
      </c>
      <c r="E16" s="23">
        <f t="shared" si="6"/>
        <v>3629</v>
      </c>
      <c r="F16" s="24">
        <f>SUM(B16:E16)</f>
        <v>542387</v>
      </c>
      <c r="G16" s="23">
        <f t="shared" ref="G16:J17" si="7">+G25+G34+G43+G52+G61+G70+G79</f>
        <v>0</v>
      </c>
      <c r="H16" s="23">
        <f t="shared" si="7"/>
        <v>0</v>
      </c>
      <c r="I16" s="23">
        <f t="shared" si="7"/>
        <v>0</v>
      </c>
      <c r="J16" s="23">
        <f t="shared" si="7"/>
        <v>0</v>
      </c>
      <c r="K16" s="24">
        <f>SUM(G16:J16)</f>
        <v>0</v>
      </c>
      <c r="L16" s="25">
        <f t="shared" ref="L16:O17" si="8">+B16-G16</f>
        <v>0</v>
      </c>
      <c r="M16" s="25">
        <f t="shared" si="8"/>
        <v>538758</v>
      </c>
      <c r="N16" s="25">
        <f t="shared" si="8"/>
        <v>0</v>
      </c>
      <c r="O16" s="25">
        <f t="shared" si="8"/>
        <v>3629</v>
      </c>
      <c r="P16" s="26">
        <f>SUM(L16:O16)</f>
        <v>542387</v>
      </c>
      <c r="Q16" s="18"/>
    </row>
    <row r="17" spans="1:18" ht="12.75" customHeight="1">
      <c r="A17" s="23" t="s">
        <v>21</v>
      </c>
      <c r="B17" s="23">
        <f t="shared" si="6"/>
        <v>0</v>
      </c>
      <c r="C17" s="23">
        <f t="shared" si="6"/>
        <v>23769</v>
      </c>
      <c r="D17" s="23">
        <f t="shared" si="6"/>
        <v>0</v>
      </c>
      <c r="E17" s="23">
        <f t="shared" si="6"/>
        <v>0</v>
      </c>
      <c r="F17" s="24">
        <f>SUM(B17:E17)</f>
        <v>23769</v>
      </c>
      <c r="G17" s="23">
        <f t="shared" si="7"/>
        <v>0</v>
      </c>
      <c r="H17" s="23">
        <f t="shared" si="7"/>
        <v>23768</v>
      </c>
      <c r="I17" s="23">
        <f t="shared" si="7"/>
        <v>0</v>
      </c>
      <c r="J17" s="23">
        <f t="shared" si="7"/>
        <v>0</v>
      </c>
      <c r="K17" s="24">
        <f>SUM(G17:J17)</f>
        <v>23768</v>
      </c>
      <c r="L17" s="25">
        <f t="shared" si="8"/>
        <v>0</v>
      </c>
      <c r="M17" s="25">
        <f t="shared" si="8"/>
        <v>1</v>
      </c>
      <c r="N17" s="25">
        <f t="shared" si="8"/>
        <v>0</v>
      </c>
      <c r="O17" s="25">
        <f t="shared" si="8"/>
        <v>0</v>
      </c>
      <c r="P17" s="26">
        <f>SUM(L17:O17)</f>
        <v>1</v>
      </c>
      <c r="Q17" s="18"/>
    </row>
    <row r="18" spans="1:18" ht="12.75" customHeight="1">
      <c r="A18" s="22"/>
      <c r="B18" s="25"/>
      <c r="C18" s="25"/>
      <c r="D18" s="25"/>
      <c r="E18" s="43"/>
      <c r="F18" s="24"/>
      <c r="G18" s="47"/>
      <c r="H18" s="47"/>
      <c r="I18" s="47"/>
      <c r="J18" s="47"/>
      <c r="K18" s="32"/>
      <c r="L18" s="25"/>
      <c r="M18" s="25"/>
      <c r="N18" s="25"/>
      <c r="O18" s="25"/>
      <c r="P18" s="26"/>
      <c r="Q18" s="18"/>
    </row>
    <row r="19" spans="1:18" ht="12.75" customHeight="1">
      <c r="A19" s="33" t="s">
        <v>358</v>
      </c>
      <c r="B19" s="17">
        <f t="shared" ref="B19:F19" si="9">+B20+B24</f>
        <v>622329</v>
      </c>
      <c r="C19" s="17">
        <f t="shared" si="9"/>
        <v>489007</v>
      </c>
      <c r="D19" s="17">
        <f t="shared" si="9"/>
        <v>0</v>
      </c>
      <c r="E19" s="17">
        <f t="shared" si="9"/>
        <v>274092</v>
      </c>
      <c r="F19" s="17">
        <f t="shared" si="9"/>
        <v>1385428</v>
      </c>
      <c r="G19" s="37">
        <f>+G20+G24</f>
        <v>409140</v>
      </c>
      <c r="H19" s="37">
        <f>+H20+H24</f>
        <v>148704</v>
      </c>
      <c r="I19" s="37"/>
      <c r="J19" s="37">
        <f>+J20+J24</f>
        <v>16983</v>
      </c>
      <c r="K19" s="37">
        <f t="shared" ref="K19" si="10">+K20+K24</f>
        <v>574827</v>
      </c>
      <c r="L19" s="17">
        <f>+L20+L24</f>
        <v>213189</v>
      </c>
      <c r="M19" s="17">
        <f>+M20+M24</f>
        <v>340303</v>
      </c>
      <c r="N19" s="17"/>
      <c r="O19" s="17">
        <f>+O20+O24</f>
        <v>257109</v>
      </c>
      <c r="P19" s="17">
        <f>+P20+P24</f>
        <v>810601</v>
      </c>
      <c r="Q19" s="18">
        <f>+K19/F19</f>
        <v>0.41490932765903388</v>
      </c>
    </row>
    <row r="20" spans="1:18" ht="12.75" customHeight="1">
      <c r="A20" s="41" t="s">
        <v>15</v>
      </c>
      <c r="B20" s="20">
        <f t="shared" ref="B20:J20" si="11">+B21+B22+B23</f>
        <v>622329</v>
      </c>
      <c r="C20" s="20">
        <f t="shared" si="11"/>
        <v>489007</v>
      </c>
      <c r="D20" s="20">
        <f t="shared" si="11"/>
        <v>0</v>
      </c>
      <c r="E20" s="20">
        <f t="shared" si="11"/>
        <v>274092</v>
      </c>
      <c r="F20" s="20">
        <f t="shared" si="11"/>
        <v>1385428</v>
      </c>
      <c r="G20" s="38">
        <f t="shared" si="11"/>
        <v>409140</v>
      </c>
      <c r="H20" s="38">
        <f t="shared" si="11"/>
        <v>148704</v>
      </c>
      <c r="I20" s="38"/>
      <c r="J20" s="38">
        <f t="shared" si="11"/>
        <v>16983</v>
      </c>
      <c r="K20" s="38">
        <f>+K21+K22+K23</f>
        <v>574827</v>
      </c>
      <c r="L20" s="20">
        <f>+L21+L22+L23</f>
        <v>213189</v>
      </c>
      <c r="M20" s="20">
        <f>+M21+M22+M23</f>
        <v>340303</v>
      </c>
      <c r="N20" s="20"/>
      <c r="O20" s="20">
        <f>+O21+O22+O23</f>
        <v>257109</v>
      </c>
      <c r="P20" s="21">
        <f>+P21+P22+P23</f>
        <v>810601</v>
      </c>
      <c r="Q20" s="18"/>
    </row>
    <row r="21" spans="1:18" ht="12.75" customHeight="1">
      <c r="A21" s="22" t="s">
        <v>16</v>
      </c>
      <c r="B21" s="29">
        <v>550638</v>
      </c>
      <c r="C21" s="29">
        <v>286499</v>
      </c>
      <c r="D21" s="29"/>
      <c r="E21" s="30">
        <v>274092</v>
      </c>
      <c r="F21" s="24">
        <f>SUM(B21:E21)</f>
        <v>1111229</v>
      </c>
      <c r="G21" s="31">
        <v>374532</v>
      </c>
      <c r="H21" s="31">
        <v>148543</v>
      </c>
      <c r="I21" s="31"/>
      <c r="J21" s="31">
        <v>16983</v>
      </c>
      <c r="K21" s="32">
        <f>SUM(G21:J21)</f>
        <v>540058</v>
      </c>
      <c r="L21" s="25">
        <f t="shared" ref="L21:M23" si="12">+B21-G21</f>
        <v>176106</v>
      </c>
      <c r="M21" s="25">
        <f t="shared" si="12"/>
        <v>137956</v>
      </c>
      <c r="N21" s="25"/>
      <c r="O21" s="25">
        <f>+E21-J21</f>
        <v>257109</v>
      </c>
      <c r="P21" s="26">
        <f>SUM(L21:O21)</f>
        <v>571171</v>
      </c>
      <c r="Q21" s="18"/>
    </row>
    <row r="22" spans="1:18" ht="12.75" customHeight="1">
      <c r="A22" s="23" t="s">
        <v>17</v>
      </c>
      <c r="B22" s="29">
        <v>24156</v>
      </c>
      <c r="C22" s="29">
        <v>202347</v>
      </c>
      <c r="D22" s="34"/>
      <c r="E22" s="30"/>
      <c r="F22" s="24">
        <f>SUM(B22:E22)</f>
        <v>226503</v>
      </c>
      <c r="G22" s="31">
        <v>1626</v>
      </c>
      <c r="H22" s="39"/>
      <c r="I22" s="39"/>
      <c r="J22" s="39"/>
      <c r="K22" s="32">
        <f>SUM(G22:J22)</f>
        <v>1626</v>
      </c>
      <c r="L22" s="25">
        <f t="shared" si="12"/>
        <v>22530</v>
      </c>
      <c r="M22" s="25">
        <f t="shared" si="12"/>
        <v>202347</v>
      </c>
      <c r="N22" s="25"/>
      <c r="O22" s="25">
        <f>+E22-J22</f>
        <v>0</v>
      </c>
      <c r="P22" s="26">
        <f>SUM(L22:O22)</f>
        <v>224877</v>
      </c>
      <c r="Q22" s="18"/>
    </row>
    <row r="23" spans="1:18" ht="12.75" customHeight="1">
      <c r="A23" s="22" t="s">
        <v>18</v>
      </c>
      <c r="B23" s="29">
        <v>47535</v>
      </c>
      <c r="C23" s="29">
        <v>161</v>
      </c>
      <c r="D23" s="29"/>
      <c r="E23" s="30"/>
      <c r="F23" s="24">
        <f>SUM(B23:E23)</f>
        <v>47696</v>
      </c>
      <c r="G23" s="31">
        <v>32982</v>
      </c>
      <c r="H23" s="31">
        <v>161</v>
      </c>
      <c r="I23" s="31"/>
      <c r="J23" s="39"/>
      <c r="K23" s="32">
        <f>SUM(G23:J23)</f>
        <v>33143</v>
      </c>
      <c r="L23" s="25">
        <f t="shared" si="12"/>
        <v>14553</v>
      </c>
      <c r="M23" s="25">
        <f t="shared" si="12"/>
        <v>0</v>
      </c>
      <c r="N23" s="25"/>
      <c r="O23" s="25">
        <f>+E23-J23</f>
        <v>0</v>
      </c>
      <c r="P23" s="26">
        <f>SUM(L23:O23)</f>
        <v>14553</v>
      </c>
      <c r="Q23" s="18"/>
      <c r="R23" s="60"/>
    </row>
    <row r="24" spans="1:18" ht="12.75" customHeight="1">
      <c r="A24" s="22" t="s">
        <v>19</v>
      </c>
      <c r="B24" s="27">
        <f t="shared" ref="B24:F24" si="13">+B25+B26</f>
        <v>0</v>
      </c>
      <c r="C24" s="27">
        <f t="shared" si="13"/>
        <v>0</v>
      </c>
      <c r="D24" s="27">
        <f t="shared" si="13"/>
        <v>0</v>
      </c>
      <c r="E24" s="27">
        <f t="shared" si="13"/>
        <v>0</v>
      </c>
      <c r="F24" s="27">
        <f t="shared" si="13"/>
        <v>0</v>
      </c>
      <c r="G24" s="40">
        <f>+G25+G26</f>
        <v>0</v>
      </c>
      <c r="H24" s="40">
        <f>+H25+H26</f>
        <v>0</v>
      </c>
      <c r="I24" s="40"/>
      <c r="J24" s="40">
        <f>+J25+J26</f>
        <v>0</v>
      </c>
      <c r="K24" s="40">
        <f t="shared" ref="K24" si="14">+K25+K26</f>
        <v>0</v>
      </c>
      <c r="L24" s="27">
        <f>+L25+L26</f>
        <v>0</v>
      </c>
      <c r="M24" s="27">
        <f>+M25+M26</f>
        <v>0</v>
      </c>
      <c r="N24" s="27"/>
      <c r="O24" s="27">
        <f>+O25+O26</f>
        <v>0</v>
      </c>
      <c r="P24" s="28">
        <f>+P25+P26</f>
        <v>0</v>
      </c>
      <c r="Q24" s="18"/>
      <c r="R24" s="60"/>
    </row>
    <row r="25" spans="1:18" ht="12.75" customHeight="1">
      <c r="A25" s="23" t="s">
        <v>20</v>
      </c>
      <c r="B25" s="29"/>
      <c r="C25" s="29"/>
      <c r="D25" s="29"/>
      <c r="E25" s="30"/>
      <c r="F25" s="24">
        <f>SUM(B25:E25)</f>
        <v>0</v>
      </c>
      <c r="G25" s="31"/>
      <c r="H25" s="31"/>
      <c r="I25" s="31"/>
      <c r="J25" s="31"/>
      <c r="K25" s="32">
        <f>SUM(G25:J25)</f>
        <v>0</v>
      </c>
      <c r="L25" s="25">
        <f>+B25-G25</f>
        <v>0</v>
      </c>
      <c r="M25" s="25">
        <f>+C25-H25</f>
        <v>0</v>
      </c>
      <c r="N25" s="25"/>
      <c r="O25" s="25">
        <f>+E25-J25</f>
        <v>0</v>
      </c>
      <c r="P25" s="26">
        <f>SUM(L25:O25)</f>
        <v>0</v>
      </c>
      <c r="Q25" s="18"/>
    </row>
    <row r="26" spans="1:18" ht="12.75" customHeight="1">
      <c r="A26" s="23" t="s">
        <v>21</v>
      </c>
      <c r="B26" s="29"/>
      <c r="C26" s="29"/>
      <c r="D26" s="29"/>
      <c r="E26" s="30"/>
      <c r="F26" s="24">
        <f>SUM(B26:E26)</f>
        <v>0</v>
      </c>
      <c r="G26" s="31"/>
      <c r="H26" s="31"/>
      <c r="I26" s="31"/>
      <c r="J26" s="31"/>
      <c r="K26" s="32">
        <f>SUM(G26:J26)</f>
        <v>0</v>
      </c>
      <c r="L26" s="25">
        <f>+B26-G26</f>
        <v>0</v>
      </c>
      <c r="M26" s="25">
        <f>+C26-H26</f>
        <v>0</v>
      </c>
      <c r="N26" s="25"/>
      <c r="O26" s="25">
        <f>+E26-J26</f>
        <v>0</v>
      </c>
      <c r="P26" s="26">
        <f>SUM(L26:O26)</f>
        <v>0</v>
      </c>
      <c r="Q26" s="18"/>
    </row>
    <row r="27" spans="1:18" ht="12.75" customHeight="1">
      <c r="A27" s="33"/>
      <c r="B27" s="25"/>
      <c r="C27" s="25"/>
      <c r="D27" s="25"/>
      <c r="E27" s="43"/>
      <c r="F27" s="24"/>
      <c r="G27" s="47"/>
      <c r="H27" s="47"/>
      <c r="I27" s="47"/>
      <c r="J27" s="47"/>
      <c r="K27" s="32"/>
      <c r="L27" s="25"/>
      <c r="M27" s="25"/>
      <c r="N27" s="25"/>
      <c r="O27" s="25"/>
      <c r="P27" s="26"/>
      <c r="Q27" s="18"/>
    </row>
    <row r="28" spans="1:18" ht="12.75" hidden="1" customHeight="1">
      <c r="A28" s="33" t="s">
        <v>154</v>
      </c>
      <c r="B28" s="17">
        <f t="shared" ref="B28:K28" si="15">+B29+B33</f>
        <v>0</v>
      </c>
      <c r="C28" s="17">
        <f t="shared" si="15"/>
        <v>0</v>
      </c>
      <c r="D28" s="17">
        <f t="shared" si="15"/>
        <v>0</v>
      </c>
      <c r="E28" s="17">
        <f t="shared" si="15"/>
        <v>0</v>
      </c>
      <c r="F28" s="17">
        <f t="shared" si="15"/>
        <v>0</v>
      </c>
      <c r="G28" s="17">
        <f t="shared" si="15"/>
        <v>0</v>
      </c>
      <c r="H28" s="17">
        <f t="shared" si="15"/>
        <v>0</v>
      </c>
      <c r="I28" s="17">
        <f t="shared" si="15"/>
        <v>0</v>
      </c>
      <c r="J28" s="17">
        <f t="shared" si="15"/>
        <v>0</v>
      </c>
      <c r="K28" s="17">
        <f t="shared" si="15"/>
        <v>0</v>
      </c>
      <c r="L28" s="17">
        <f>+L29+L33</f>
        <v>0</v>
      </c>
      <c r="M28" s="17">
        <f>+M29+M33</f>
        <v>0</v>
      </c>
      <c r="N28" s="17">
        <f>+N29+N33</f>
        <v>0</v>
      </c>
      <c r="O28" s="17">
        <f>+O29+O33</f>
        <v>0</v>
      </c>
      <c r="P28" s="17">
        <f>+P29+P33</f>
        <v>0</v>
      </c>
      <c r="Q28" s="18" t="e">
        <f>+K28/F28</f>
        <v>#DIV/0!</v>
      </c>
    </row>
    <row r="29" spans="1:18" ht="12.75" hidden="1" customHeight="1">
      <c r="A29" s="41" t="s">
        <v>15</v>
      </c>
      <c r="B29" s="20">
        <f t="shared" ref="B29:K29" si="16">+B30+B31+B32</f>
        <v>0</v>
      </c>
      <c r="C29" s="20">
        <f t="shared" si="16"/>
        <v>0</v>
      </c>
      <c r="D29" s="20">
        <f t="shared" si="16"/>
        <v>0</v>
      </c>
      <c r="E29" s="20">
        <f t="shared" si="16"/>
        <v>0</v>
      </c>
      <c r="F29" s="20">
        <f t="shared" si="16"/>
        <v>0</v>
      </c>
      <c r="G29" s="20">
        <f t="shared" si="16"/>
        <v>0</v>
      </c>
      <c r="H29" s="20">
        <f t="shared" si="16"/>
        <v>0</v>
      </c>
      <c r="I29" s="20">
        <f t="shared" si="16"/>
        <v>0</v>
      </c>
      <c r="J29" s="20">
        <f t="shared" si="16"/>
        <v>0</v>
      </c>
      <c r="K29" s="20">
        <f t="shared" si="16"/>
        <v>0</v>
      </c>
      <c r="L29" s="20">
        <f t="shared" ref="L29:P29" si="17">+L30+L31+L32</f>
        <v>0</v>
      </c>
      <c r="M29" s="20">
        <f t="shared" si="17"/>
        <v>0</v>
      </c>
      <c r="N29" s="20">
        <f t="shared" si="17"/>
        <v>0</v>
      </c>
      <c r="O29" s="20">
        <f t="shared" si="17"/>
        <v>0</v>
      </c>
      <c r="P29" s="21">
        <f t="shared" si="17"/>
        <v>0</v>
      </c>
      <c r="Q29" s="18"/>
    </row>
    <row r="30" spans="1:18" ht="12.75" hidden="1" customHeight="1">
      <c r="A30" s="22" t="s">
        <v>16</v>
      </c>
      <c r="B30" s="29"/>
      <c r="C30" s="29"/>
      <c r="D30" s="29"/>
      <c r="E30" s="30"/>
      <c r="F30" s="24">
        <f>SUM(B30:E30)</f>
        <v>0</v>
      </c>
      <c r="G30" s="29"/>
      <c r="H30" s="29"/>
      <c r="I30" s="29"/>
      <c r="J30" s="29"/>
      <c r="K30" s="24">
        <f>SUM(G30:J30)</f>
        <v>0</v>
      </c>
      <c r="L30" s="25">
        <f t="shared" ref="L30:N32" si="18">+B30-G30</f>
        <v>0</v>
      </c>
      <c r="M30" s="25">
        <f t="shared" si="18"/>
        <v>0</v>
      </c>
      <c r="N30" s="25">
        <f t="shared" si="18"/>
        <v>0</v>
      </c>
      <c r="O30" s="25">
        <f>+E30-J30</f>
        <v>0</v>
      </c>
      <c r="P30" s="26">
        <f>SUM(L30:O30)</f>
        <v>0</v>
      </c>
      <c r="Q30" s="18"/>
    </row>
    <row r="31" spans="1:18" ht="12.75" hidden="1" customHeight="1">
      <c r="A31" s="23" t="s">
        <v>17</v>
      </c>
      <c r="B31" s="29"/>
      <c r="C31" s="29"/>
      <c r="D31" s="29"/>
      <c r="E31" s="30"/>
      <c r="F31" s="24">
        <f>SUM(B31:E31)</f>
        <v>0</v>
      </c>
      <c r="G31" s="29"/>
      <c r="H31" s="34"/>
      <c r="I31" s="34"/>
      <c r="J31" s="34"/>
      <c r="K31" s="24">
        <f>SUM(G31:J31)</f>
        <v>0</v>
      </c>
      <c r="L31" s="25">
        <f t="shared" si="18"/>
        <v>0</v>
      </c>
      <c r="M31" s="25">
        <f t="shared" si="18"/>
        <v>0</v>
      </c>
      <c r="N31" s="25"/>
      <c r="O31" s="25">
        <f>+E31-J31</f>
        <v>0</v>
      </c>
      <c r="P31" s="26">
        <f>SUM(L31:O31)</f>
        <v>0</v>
      </c>
      <c r="Q31" s="18"/>
    </row>
    <row r="32" spans="1:18" ht="12.75" hidden="1" customHeight="1">
      <c r="A32" s="22" t="s">
        <v>18</v>
      </c>
      <c r="B32" s="29"/>
      <c r="C32" s="29"/>
      <c r="D32" s="29"/>
      <c r="E32" s="30"/>
      <c r="F32" s="24">
        <f>SUM(B32:E32)</f>
        <v>0</v>
      </c>
      <c r="G32" s="29"/>
      <c r="H32" s="34"/>
      <c r="I32" s="34"/>
      <c r="J32" s="34"/>
      <c r="K32" s="24">
        <f>SUM(G32:J32)</f>
        <v>0</v>
      </c>
      <c r="L32" s="25">
        <f t="shared" si="18"/>
        <v>0</v>
      </c>
      <c r="M32" s="25">
        <f t="shared" si="18"/>
        <v>0</v>
      </c>
      <c r="N32" s="25"/>
      <c r="O32" s="25">
        <f>+E32-J32</f>
        <v>0</v>
      </c>
      <c r="P32" s="26">
        <f>SUM(L32:O32)</f>
        <v>0</v>
      </c>
      <c r="Q32" s="18"/>
    </row>
    <row r="33" spans="1:17" ht="12.75" hidden="1" customHeight="1">
      <c r="A33" s="22" t="s">
        <v>19</v>
      </c>
      <c r="B33" s="27">
        <f t="shared" ref="B33:K33" si="19">+B34+B35</f>
        <v>0</v>
      </c>
      <c r="C33" s="27">
        <f t="shared" si="19"/>
        <v>0</v>
      </c>
      <c r="D33" s="27">
        <f t="shared" si="19"/>
        <v>0</v>
      </c>
      <c r="E33" s="27">
        <f t="shared" si="19"/>
        <v>0</v>
      </c>
      <c r="F33" s="27">
        <f t="shared" si="19"/>
        <v>0</v>
      </c>
      <c r="G33" s="27">
        <f t="shared" si="19"/>
        <v>0</v>
      </c>
      <c r="H33" s="27">
        <f t="shared" si="19"/>
        <v>0</v>
      </c>
      <c r="I33" s="27">
        <f t="shared" si="19"/>
        <v>0</v>
      </c>
      <c r="J33" s="27">
        <f t="shared" si="19"/>
        <v>0</v>
      </c>
      <c r="K33" s="27">
        <f t="shared" si="19"/>
        <v>0</v>
      </c>
      <c r="L33" s="27">
        <f>+L34+L35</f>
        <v>0</v>
      </c>
      <c r="M33" s="27">
        <f>+M34+M35</f>
        <v>0</v>
      </c>
      <c r="N33" s="27"/>
      <c r="O33" s="27">
        <f>+O34+O35</f>
        <v>0</v>
      </c>
      <c r="P33" s="28">
        <f>+P34+P35</f>
        <v>0</v>
      </c>
      <c r="Q33" s="18"/>
    </row>
    <row r="34" spans="1:17" ht="12.75" hidden="1" customHeight="1">
      <c r="A34" s="23" t="s">
        <v>20</v>
      </c>
      <c r="B34" s="29"/>
      <c r="C34" s="29"/>
      <c r="D34" s="29"/>
      <c r="E34" s="30"/>
      <c r="F34" s="24">
        <f>SUM(B34:E34)</f>
        <v>0</v>
      </c>
      <c r="G34" s="29"/>
      <c r="H34" s="29"/>
      <c r="I34" s="29"/>
      <c r="J34" s="29"/>
      <c r="K34" s="24">
        <f>SUM(G34:J34)</f>
        <v>0</v>
      </c>
      <c r="L34" s="25">
        <f>+B34-G34</f>
        <v>0</v>
      </c>
      <c r="M34" s="25">
        <f>+C34-H34</f>
        <v>0</v>
      </c>
      <c r="N34" s="25"/>
      <c r="O34" s="25">
        <f>+E34-J34</f>
        <v>0</v>
      </c>
      <c r="P34" s="26">
        <f>SUM(L34:O34)</f>
        <v>0</v>
      </c>
      <c r="Q34" s="18"/>
    </row>
    <row r="35" spans="1:17" ht="12.75" hidden="1" customHeight="1">
      <c r="A35" s="23" t="s">
        <v>21</v>
      </c>
      <c r="B35" s="29"/>
      <c r="C35" s="29"/>
      <c r="D35" s="29"/>
      <c r="E35" s="30"/>
      <c r="F35" s="24">
        <f>SUM(B35:E35)</f>
        <v>0</v>
      </c>
      <c r="G35" s="29"/>
      <c r="H35" s="29"/>
      <c r="I35" s="29"/>
      <c r="J35" s="29"/>
      <c r="K35" s="24">
        <f>SUM(G35:J35)</f>
        <v>0</v>
      </c>
      <c r="L35" s="25">
        <f>+B35-G35</f>
        <v>0</v>
      </c>
      <c r="M35" s="25">
        <f>+C35-H35</f>
        <v>0</v>
      </c>
      <c r="N35" s="25"/>
      <c r="O35" s="25">
        <f>+E35-J35</f>
        <v>0</v>
      </c>
      <c r="P35" s="26">
        <f>SUM(L35:O35)</f>
        <v>0</v>
      </c>
      <c r="Q35" s="18"/>
    </row>
    <row r="36" spans="1:17" ht="12.75" hidden="1" customHeight="1">
      <c r="A36" s="33"/>
      <c r="B36" s="25"/>
      <c r="C36" s="25"/>
      <c r="D36" s="25"/>
      <c r="E36" s="43"/>
      <c r="F36" s="24"/>
      <c r="G36" s="47"/>
      <c r="H36" s="47"/>
      <c r="I36" s="47"/>
      <c r="J36" s="47"/>
      <c r="K36" s="32"/>
      <c r="L36" s="25"/>
      <c r="M36" s="25"/>
      <c r="N36" s="25"/>
      <c r="O36" s="25"/>
      <c r="P36" s="26"/>
      <c r="Q36" s="18"/>
    </row>
    <row r="37" spans="1:17" ht="12.75" customHeight="1">
      <c r="A37" s="33" t="s">
        <v>360</v>
      </c>
      <c r="B37" s="17">
        <f t="shared" ref="B37:K37" si="20">+B38+B42</f>
        <v>856923</v>
      </c>
      <c r="C37" s="17">
        <f t="shared" si="20"/>
        <v>2361303</v>
      </c>
      <c r="D37" s="17">
        <f t="shared" si="20"/>
        <v>660</v>
      </c>
      <c r="E37" s="17">
        <f t="shared" si="20"/>
        <v>9329</v>
      </c>
      <c r="F37" s="17">
        <f t="shared" si="20"/>
        <v>3228215</v>
      </c>
      <c r="G37" s="17">
        <f t="shared" si="20"/>
        <v>793046</v>
      </c>
      <c r="H37" s="17">
        <f t="shared" si="20"/>
        <v>847299</v>
      </c>
      <c r="I37" s="17">
        <f t="shared" si="20"/>
        <v>0</v>
      </c>
      <c r="J37" s="17">
        <f t="shared" si="20"/>
        <v>0</v>
      </c>
      <c r="K37" s="17">
        <f t="shared" si="20"/>
        <v>1640345</v>
      </c>
      <c r="L37" s="17">
        <f>+L38+L42</f>
        <v>63877</v>
      </c>
      <c r="M37" s="17">
        <f>+M38+M42</f>
        <v>1514004</v>
      </c>
      <c r="N37" s="17"/>
      <c r="O37" s="17">
        <f>+O38+O42</f>
        <v>9329</v>
      </c>
      <c r="P37" s="17">
        <f>+P38+P42</f>
        <v>1587210</v>
      </c>
      <c r="Q37" s="18">
        <f>+K37/F37</f>
        <v>0.5081275565598945</v>
      </c>
    </row>
    <row r="38" spans="1:17" ht="12.75" customHeight="1">
      <c r="A38" s="41" t="s">
        <v>15</v>
      </c>
      <c r="B38" s="20">
        <f t="shared" ref="B38:K38" si="21">+B39+B40+B41</f>
        <v>856923</v>
      </c>
      <c r="C38" s="20">
        <f t="shared" si="21"/>
        <v>1823637</v>
      </c>
      <c r="D38" s="20">
        <f t="shared" si="21"/>
        <v>660</v>
      </c>
      <c r="E38" s="20">
        <f t="shared" si="21"/>
        <v>5700</v>
      </c>
      <c r="F38" s="20">
        <f t="shared" si="21"/>
        <v>2686920</v>
      </c>
      <c r="G38" s="20">
        <f t="shared" si="21"/>
        <v>793046</v>
      </c>
      <c r="H38" s="20">
        <f t="shared" si="21"/>
        <v>847299</v>
      </c>
      <c r="I38" s="20">
        <f t="shared" si="21"/>
        <v>0</v>
      </c>
      <c r="J38" s="20">
        <f t="shared" si="21"/>
        <v>0</v>
      </c>
      <c r="K38" s="20">
        <f t="shared" si="21"/>
        <v>1640345</v>
      </c>
      <c r="L38" s="20">
        <f>+L39+L40+L41</f>
        <v>63877</v>
      </c>
      <c r="M38" s="20">
        <f>+M39+M40+M41</f>
        <v>976338</v>
      </c>
      <c r="N38" s="20"/>
      <c r="O38" s="20">
        <f>+O39+O40+O41</f>
        <v>5700</v>
      </c>
      <c r="P38" s="21">
        <f>+P39+P40+P41</f>
        <v>1045915</v>
      </c>
      <c r="Q38" s="18"/>
    </row>
    <row r="39" spans="1:17" ht="12.75" customHeight="1">
      <c r="A39" s="22" t="s">
        <v>16</v>
      </c>
      <c r="B39" s="29">
        <f>682408+54961</f>
        <v>737369</v>
      </c>
      <c r="C39" s="29">
        <f>1760395+58030</f>
        <v>1818425</v>
      </c>
      <c r="D39" s="29">
        <v>660</v>
      </c>
      <c r="E39" s="30">
        <v>4806</v>
      </c>
      <c r="F39" s="24">
        <f>SUM(B39:E39)</f>
        <v>2561260</v>
      </c>
      <c r="G39" s="29">
        <v>682408</v>
      </c>
      <c r="H39" s="29">
        <v>847299</v>
      </c>
      <c r="I39" s="29"/>
      <c r="J39" s="29"/>
      <c r="K39" s="24">
        <f>SUM(G39:J39)</f>
        <v>1529707</v>
      </c>
      <c r="L39" s="25">
        <f t="shared" ref="L39:M41" si="22">+B39-G39</f>
        <v>54961</v>
      </c>
      <c r="M39" s="25">
        <f t="shared" si="22"/>
        <v>971126</v>
      </c>
      <c r="N39" s="25"/>
      <c r="O39" s="25">
        <f>+E39-J39</f>
        <v>4806</v>
      </c>
      <c r="P39" s="26">
        <f>SUM(L39:O39)</f>
        <v>1030893</v>
      </c>
      <c r="Q39" s="18"/>
    </row>
    <row r="40" spans="1:17" ht="12.75" customHeight="1">
      <c r="A40" s="23" t="s">
        <v>17</v>
      </c>
      <c r="B40" s="29">
        <f>52416+1743</f>
        <v>54159</v>
      </c>
      <c r="C40" s="34"/>
      <c r="D40" s="34"/>
      <c r="E40" s="30"/>
      <c r="F40" s="24">
        <f>SUM(B40:E40)</f>
        <v>54159</v>
      </c>
      <c r="G40" s="29">
        <v>52406</v>
      </c>
      <c r="H40" s="34"/>
      <c r="I40" s="34"/>
      <c r="J40" s="34"/>
      <c r="K40" s="24">
        <f>SUM(G40:J40)</f>
        <v>52406</v>
      </c>
      <c r="L40" s="25">
        <f t="shared" si="22"/>
        <v>1753</v>
      </c>
      <c r="M40" s="25">
        <f t="shared" si="22"/>
        <v>0</v>
      </c>
      <c r="N40" s="25"/>
      <c r="O40" s="25">
        <f>+E40-J40</f>
        <v>0</v>
      </c>
      <c r="P40" s="26">
        <f>SUM(L40:O40)</f>
        <v>1753</v>
      </c>
      <c r="Q40" s="18"/>
    </row>
    <row r="41" spans="1:17" ht="12.75" customHeight="1">
      <c r="A41" s="22" t="s">
        <v>18</v>
      </c>
      <c r="B41" s="29">
        <f>61061+4334</f>
        <v>65395</v>
      </c>
      <c r="C41" s="29">
        <v>5212</v>
      </c>
      <c r="D41" s="29"/>
      <c r="E41" s="30">
        <v>894</v>
      </c>
      <c r="F41" s="24">
        <f>SUM(B41:E41)</f>
        <v>71501</v>
      </c>
      <c r="G41" s="29">
        <v>58232</v>
      </c>
      <c r="H41" s="34"/>
      <c r="I41" s="34"/>
      <c r="J41" s="34"/>
      <c r="K41" s="24">
        <f>SUM(G41:J41)</f>
        <v>58232</v>
      </c>
      <c r="L41" s="25">
        <f t="shared" si="22"/>
        <v>7163</v>
      </c>
      <c r="M41" s="25">
        <f t="shared" si="22"/>
        <v>5212</v>
      </c>
      <c r="N41" s="25"/>
      <c r="O41" s="25">
        <f>+E41-J41</f>
        <v>894</v>
      </c>
      <c r="P41" s="26">
        <f>SUM(L41:O41)</f>
        <v>13269</v>
      </c>
      <c r="Q41" s="18"/>
    </row>
    <row r="42" spans="1:17" ht="12.75" customHeight="1">
      <c r="A42" s="22" t="s">
        <v>19</v>
      </c>
      <c r="B42" s="27">
        <f t="shared" ref="B42:K42" si="23">+B43+B44</f>
        <v>0</v>
      </c>
      <c r="C42" s="27">
        <f t="shared" si="23"/>
        <v>537666</v>
      </c>
      <c r="D42" s="27">
        <f t="shared" si="23"/>
        <v>0</v>
      </c>
      <c r="E42" s="27">
        <f t="shared" si="23"/>
        <v>3629</v>
      </c>
      <c r="F42" s="27">
        <f t="shared" si="23"/>
        <v>541295</v>
      </c>
      <c r="G42" s="27">
        <f t="shared" si="23"/>
        <v>0</v>
      </c>
      <c r="H42" s="27">
        <f t="shared" si="23"/>
        <v>0</v>
      </c>
      <c r="I42" s="27">
        <f t="shared" si="23"/>
        <v>0</v>
      </c>
      <c r="J42" s="27">
        <f t="shared" si="23"/>
        <v>0</v>
      </c>
      <c r="K42" s="27">
        <f t="shared" si="23"/>
        <v>0</v>
      </c>
      <c r="L42" s="27">
        <f>+L43+L44</f>
        <v>0</v>
      </c>
      <c r="M42" s="27">
        <f>+M43+M44</f>
        <v>537666</v>
      </c>
      <c r="N42" s="27"/>
      <c r="O42" s="27">
        <f>+O43+O44</f>
        <v>3629</v>
      </c>
      <c r="P42" s="28">
        <f>+P43+P44</f>
        <v>541295</v>
      </c>
      <c r="Q42" s="18"/>
    </row>
    <row r="43" spans="1:17" ht="12.75" customHeight="1">
      <c r="A43" s="23" t="s">
        <v>20</v>
      </c>
      <c r="B43" s="29"/>
      <c r="C43" s="29">
        <f>536976+690</f>
        <v>537666</v>
      </c>
      <c r="D43" s="29"/>
      <c r="E43" s="30">
        <f>2246+1383</f>
        <v>3629</v>
      </c>
      <c r="F43" s="24">
        <f>SUM(B43:E43)</f>
        <v>541295</v>
      </c>
      <c r="G43" s="29"/>
      <c r="H43" s="29"/>
      <c r="I43" s="29"/>
      <c r="J43" s="29"/>
      <c r="K43" s="24">
        <f>SUM(G43:J43)</f>
        <v>0</v>
      </c>
      <c r="L43" s="25">
        <f>+B43-G43</f>
        <v>0</v>
      </c>
      <c r="M43" s="25">
        <f>+C43-H43</f>
        <v>537666</v>
      </c>
      <c r="N43" s="25"/>
      <c r="O43" s="25">
        <f>+E43-J43</f>
        <v>3629</v>
      </c>
      <c r="P43" s="26">
        <f>SUM(L43:O43)</f>
        <v>541295</v>
      </c>
      <c r="Q43" s="18"/>
    </row>
    <row r="44" spans="1:17" ht="12.75" customHeight="1">
      <c r="A44" s="23" t="s">
        <v>21</v>
      </c>
      <c r="B44" s="29"/>
      <c r="C44" s="29"/>
      <c r="D44" s="29"/>
      <c r="E44" s="30"/>
      <c r="F44" s="24">
        <f>SUM(B44:E44)</f>
        <v>0</v>
      </c>
      <c r="G44" s="29"/>
      <c r="H44" s="29"/>
      <c r="I44" s="29"/>
      <c r="J44" s="29"/>
      <c r="K44" s="24">
        <f>SUM(G44:J44)</f>
        <v>0</v>
      </c>
      <c r="L44" s="25">
        <f>+B44-G44</f>
        <v>0</v>
      </c>
      <c r="M44" s="25">
        <f>+C44-H44</f>
        <v>0</v>
      </c>
      <c r="N44" s="25"/>
      <c r="O44" s="25">
        <f>+E44-J44</f>
        <v>0</v>
      </c>
      <c r="P44" s="26">
        <f>SUM(L44:O44)</f>
        <v>0</v>
      </c>
      <c r="Q44" s="18"/>
    </row>
    <row r="45" spans="1:17" ht="12.75" customHeight="1">
      <c r="A45" s="33"/>
      <c r="B45" s="25"/>
      <c r="C45" s="25"/>
      <c r="D45" s="25"/>
      <c r="E45" s="43"/>
      <c r="F45" s="24"/>
      <c r="G45" s="25"/>
      <c r="H45" s="25"/>
      <c r="I45" s="25"/>
      <c r="J45" s="25"/>
      <c r="K45" s="24"/>
      <c r="L45" s="25"/>
      <c r="M45" s="25"/>
      <c r="N45" s="25"/>
      <c r="O45" s="25"/>
      <c r="P45" s="26"/>
      <c r="Q45" s="18"/>
    </row>
    <row r="46" spans="1:17" ht="12.75" customHeight="1">
      <c r="A46" s="215" t="s">
        <v>155</v>
      </c>
      <c r="B46" s="17">
        <f t="shared" ref="B46:K46" si="24">+B47+B51</f>
        <v>10151</v>
      </c>
      <c r="C46" s="17">
        <f t="shared" si="24"/>
        <v>11098</v>
      </c>
      <c r="D46" s="17">
        <f t="shared" si="24"/>
        <v>20</v>
      </c>
      <c r="E46" s="17">
        <f t="shared" si="24"/>
        <v>669</v>
      </c>
      <c r="F46" s="17">
        <f t="shared" si="24"/>
        <v>21938</v>
      </c>
      <c r="G46" s="17">
        <f t="shared" si="24"/>
        <v>9979</v>
      </c>
      <c r="H46" s="17">
        <f t="shared" si="24"/>
        <v>7070</v>
      </c>
      <c r="I46" s="17">
        <f t="shared" si="24"/>
        <v>18</v>
      </c>
      <c r="J46" s="17">
        <f t="shared" si="24"/>
        <v>0</v>
      </c>
      <c r="K46" s="17">
        <f t="shared" si="24"/>
        <v>17067</v>
      </c>
      <c r="L46" s="17">
        <f>+L47+L51</f>
        <v>172</v>
      </c>
      <c r="M46" s="17">
        <f>+M47+M51</f>
        <v>4028</v>
      </c>
      <c r="N46" s="17">
        <f>+N47+N51</f>
        <v>2</v>
      </c>
      <c r="O46" s="17">
        <f>+O47+O51</f>
        <v>669</v>
      </c>
      <c r="P46" s="17">
        <f>+P47+P51</f>
        <v>4871</v>
      </c>
      <c r="Q46" s="18">
        <f>+K46/F46</f>
        <v>0.77796517458291548</v>
      </c>
    </row>
    <row r="47" spans="1:17" ht="12.75" customHeight="1">
      <c r="A47" s="41" t="s">
        <v>15</v>
      </c>
      <c r="B47" s="20">
        <f t="shared" ref="B47:K47" si="25">+B48+B49+B50</f>
        <v>10151</v>
      </c>
      <c r="C47" s="20">
        <f t="shared" si="25"/>
        <v>11098</v>
      </c>
      <c r="D47" s="20">
        <f t="shared" si="25"/>
        <v>20</v>
      </c>
      <c r="E47" s="20">
        <f t="shared" si="25"/>
        <v>669</v>
      </c>
      <c r="F47" s="20">
        <f t="shared" si="25"/>
        <v>21938</v>
      </c>
      <c r="G47" s="20">
        <f t="shared" si="25"/>
        <v>9979</v>
      </c>
      <c r="H47" s="20">
        <f t="shared" si="25"/>
        <v>7070</v>
      </c>
      <c r="I47" s="20">
        <f t="shared" si="25"/>
        <v>18</v>
      </c>
      <c r="J47" s="20">
        <f t="shared" si="25"/>
        <v>0</v>
      </c>
      <c r="K47" s="20">
        <f t="shared" si="25"/>
        <v>17067</v>
      </c>
      <c r="L47" s="20">
        <f t="shared" ref="L47:P47" si="26">+L48+L49+L50</f>
        <v>172</v>
      </c>
      <c r="M47" s="20">
        <f t="shared" si="26"/>
        <v>4028</v>
      </c>
      <c r="N47" s="20">
        <f t="shared" si="26"/>
        <v>2</v>
      </c>
      <c r="O47" s="20">
        <f t="shared" si="26"/>
        <v>669</v>
      </c>
      <c r="P47" s="21">
        <f t="shared" si="26"/>
        <v>4871</v>
      </c>
      <c r="Q47" s="18"/>
    </row>
    <row r="48" spans="1:17" ht="12.75" customHeight="1">
      <c r="A48" s="22" t="s">
        <v>16</v>
      </c>
      <c r="B48" s="29">
        <v>8278</v>
      </c>
      <c r="C48" s="29">
        <v>11098</v>
      </c>
      <c r="D48" s="29">
        <v>20</v>
      </c>
      <c r="E48" s="30">
        <v>669</v>
      </c>
      <c r="F48" s="24">
        <f>SUM(B48:E48)</f>
        <v>20065</v>
      </c>
      <c r="G48" s="29">
        <v>8219</v>
      </c>
      <c r="H48" s="29">
        <v>7070</v>
      </c>
      <c r="I48" s="29">
        <v>18</v>
      </c>
      <c r="J48" s="29"/>
      <c r="K48" s="24">
        <f>SUM(G48:J48)</f>
        <v>15307</v>
      </c>
      <c r="L48" s="25">
        <f t="shared" ref="L48:N50" si="27">+B48-G48</f>
        <v>59</v>
      </c>
      <c r="M48" s="25">
        <f t="shared" si="27"/>
        <v>4028</v>
      </c>
      <c r="N48" s="25">
        <f t="shared" si="27"/>
        <v>2</v>
      </c>
      <c r="O48" s="25">
        <f>+E48-J48</f>
        <v>669</v>
      </c>
      <c r="P48" s="26">
        <f>SUM(L48:O48)</f>
        <v>4758</v>
      </c>
      <c r="Q48" s="18"/>
    </row>
    <row r="49" spans="1:17" ht="12.75" customHeight="1">
      <c r="A49" s="23" t="s">
        <v>17</v>
      </c>
      <c r="B49" s="29">
        <v>1058</v>
      </c>
      <c r="C49" s="34"/>
      <c r="D49" s="34"/>
      <c r="E49" s="30"/>
      <c r="F49" s="24">
        <f>SUM(B49:E49)</f>
        <v>1058</v>
      </c>
      <c r="G49" s="29">
        <v>1008</v>
      </c>
      <c r="H49" s="34"/>
      <c r="I49" s="34"/>
      <c r="J49" s="34"/>
      <c r="K49" s="24">
        <f>SUM(G49:J49)</f>
        <v>1008</v>
      </c>
      <c r="L49" s="25">
        <f t="shared" si="27"/>
        <v>50</v>
      </c>
      <c r="M49" s="25">
        <f t="shared" si="27"/>
        <v>0</v>
      </c>
      <c r="N49" s="25"/>
      <c r="O49" s="25">
        <f>+E49-J49</f>
        <v>0</v>
      </c>
      <c r="P49" s="26">
        <f>SUM(L49:O49)</f>
        <v>50</v>
      </c>
      <c r="Q49" s="18"/>
    </row>
    <row r="50" spans="1:17" ht="12.75" customHeight="1">
      <c r="A50" s="22" t="s">
        <v>18</v>
      </c>
      <c r="B50" s="29">
        <v>815</v>
      </c>
      <c r="C50" s="34"/>
      <c r="D50" s="34"/>
      <c r="E50" s="35"/>
      <c r="F50" s="24">
        <f>SUM(B50:E50)</f>
        <v>815</v>
      </c>
      <c r="G50" s="29">
        <v>752</v>
      </c>
      <c r="H50" s="34"/>
      <c r="I50" s="34"/>
      <c r="J50" s="34"/>
      <c r="K50" s="24">
        <f>SUM(G50:J50)</f>
        <v>752</v>
      </c>
      <c r="L50" s="25">
        <f t="shared" si="27"/>
        <v>63</v>
      </c>
      <c r="M50" s="25">
        <f t="shared" si="27"/>
        <v>0</v>
      </c>
      <c r="N50" s="25"/>
      <c r="O50" s="25">
        <f>+E50-J50</f>
        <v>0</v>
      </c>
      <c r="P50" s="26">
        <f>SUM(L50:O50)</f>
        <v>63</v>
      </c>
      <c r="Q50" s="18"/>
    </row>
    <row r="51" spans="1:17" ht="12.75" customHeight="1">
      <c r="A51" s="22" t="s">
        <v>19</v>
      </c>
      <c r="B51" s="27">
        <f t="shared" ref="B51:K51" si="28">+B52+B53</f>
        <v>0</v>
      </c>
      <c r="C51" s="27">
        <f t="shared" si="28"/>
        <v>0</v>
      </c>
      <c r="D51" s="27">
        <f t="shared" si="28"/>
        <v>0</v>
      </c>
      <c r="E51" s="27">
        <f t="shared" si="28"/>
        <v>0</v>
      </c>
      <c r="F51" s="27">
        <f t="shared" si="28"/>
        <v>0</v>
      </c>
      <c r="G51" s="27">
        <f t="shared" si="28"/>
        <v>0</v>
      </c>
      <c r="H51" s="27">
        <f t="shared" si="28"/>
        <v>0</v>
      </c>
      <c r="I51" s="27">
        <f t="shared" si="28"/>
        <v>0</v>
      </c>
      <c r="J51" s="27">
        <f t="shared" si="28"/>
        <v>0</v>
      </c>
      <c r="K51" s="27">
        <f t="shared" si="28"/>
        <v>0</v>
      </c>
      <c r="L51" s="27">
        <f>+L52+L53</f>
        <v>0</v>
      </c>
      <c r="M51" s="27">
        <f>+M52+M53</f>
        <v>0</v>
      </c>
      <c r="N51" s="27"/>
      <c r="O51" s="27">
        <f>+O52+O53</f>
        <v>0</v>
      </c>
      <c r="P51" s="28">
        <f>+P52+P53</f>
        <v>0</v>
      </c>
      <c r="Q51" s="18"/>
    </row>
    <row r="52" spans="1:17" ht="12.75" customHeight="1">
      <c r="A52" s="23" t="s">
        <v>20</v>
      </c>
      <c r="B52" s="29"/>
      <c r="C52" s="29"/>
      <c r="D52" s="29"/>
      <c r="E52" s="30"/>
      <c r="F52" s="24">
        <f>SUM(B52:E52)</f>
        <v>0</v>
      </c>
      <c r="G52" s="29"/>
      <c r="H52" s="29"/>
      <c r="I52" s="29"/>
      <c r="J52" s="29"/>
      <c r="K52" s="24">
        <f>SUM(G52:J52)</f>
        <v>0</v>
      </c>
      <c r="L52" s="25">
        <f>+B52-G52</f>
        <v>0</v>
      </c>
      <c r="M52" s="25">
        <f>+C52-H52</f>
        <v>0</v>
      </c>
      <c r="N52" s="25"/>
      <c r="O52" s="25">
        <f>+E52-J52</f>
        <v>0</v>
      </c>
      <c r="P52" s="26">
        <f>SUM(L52:O52)</f>
        <v>0</v>
      </c>
      <c r="Q52" s="18"/>
    </row>
    <row r="53" spans="1:17" ht="12.75" customHeight="1">
      <c r="A53" s="23" t="s">
        <v>21</v>
      </c>
      <c r="B53" s="29"/>
      <c r="C53" s="29"/>
      <c r="D53" s="29"/>
      <c r="E53" s="30"/>
      <c r="F53" s="24">
        <f>SUM(B53:E53)</f>
        <v>0</v>
      </c>
      <c r="G53" s="29"/>
      <c r="H53" s="29"/>
      <c r="I53" s="29"/>
      <c r="J53" s="29"/>
      <c r="K53" s="24">
        <f>SUM(G53:J53)</f>
        <v>0</v>
      </c>
      <c r="L53" s="25">
        <f>+B53-G53</f>
        <v>0</v>
      </c>
      <c r="M53" s="25">
        <f>+C53-H53</f>
        <v>0</v>
      </c>
      <c r="N53" s="25"/>
      <c r="O53" s="25">
        <f>+E53-J53</f>
        <v>0</v>
      </c>
      <c r="P53" s="26">
        <f>SUM(L53:O53)</f>
        <v>0</v>
      </c>
      <c r="Q53" s="18"/>
    </row>
    <row r="54" spans="1:17" ht="12.75" customHeight="1">
      <c r="A54" s="33"/>
      <c r="B54" s="25"/>
      <c r="C54" s="25"/>
      <c r="D54" s="25"/>
      <c r="E54" s="43"/>
      <c r="F54" s="24"/>
      <c r="G54" s="25"/>
      <c r="H54" s="25"/>
      <c r="I54" s="25"/>
      <c r="J54" s="25"/>
      <c r="K54" s="24"/>
      <c r="L54" s="25"/>
      <c r="M54" s="25"/>
      <c r="N54" s="25"/>
      <c r="O54" s="25"/>
      <c r="P54" s="26"/>
      <c r="Q54" s="18"/>
    </row>
    <row r="55" spans="1:17" ht="12.75" customHeight="1">
      <c r="A55" s="215" t="s">
        <v>156</v>
      </c>
      <c r="B55" s="17">
        <f t="shared" ref="B55:K55" si="29">+B56+B60</f>
        <v>64561</v>
      </c>
      <c r="C55" s="17">
        <f t="shared" si="29"/>
        <v>211895</v>
      </c>
      <c r="D55" s="17">
        <f t="shared" si="29"/>
        <v>0</v>
      </c>
      <c r="E55" s="17">
        <f t="shared" si="29"/>
        <v>0</v>
      </c>
      <c r="F55" s="17">
        <f t="shared" si="29"/>
        <v>276456</v>
      </c>
      <c r="G55" s="17">
        <f t="shared" si="29"/>
        <v>62723</v>
      </c>
      <c r="H55" s="17">
        <f t="shared" si="29"/>
        <v>193494</v>
      </c>
      <c r="I55" s="17">
        <f t="shared" si="29"/>
        <v>0</v>
      </c>
      <c r="J55" s="17">
        <f t="shared" si="29"/>
        <v>0</v>
      </c>
      <c r="K55" s="17">
        <f t="shared" si="29"/>
        <v>256217</v>
      </c>
      <c r="L55" s="17">
        <f>+L56+L60</f>
        <v>1838</v>
      </c>
      <c r="M55" s="17">
        <f>+M56+M60</f>
        <v>18401</v>
      </c>
      <c r="N55" s="17"/>
      <c r="O55" s="17">
        <f>+O56+O60</f>
        <v>0</v>
      </c>
      <c r="P55" s="17">
        <f>+P56+P60</f>
        <v>20239</v>
      </c>
      <c r="Q55" s="18">
        <f>+K55/F55</f>
        <v>0.92679124345284603</v>
      </c>
    </row>
    <row r="56" spans="1:17" ht="12.75" customHeight="1">
      <c r="A56" s="41" t="s">
        <v>15</v>
      </c>
      <c r="B56" s="20">
        <f t="shared" ref="B56:K56" si="30">+B57+B58+B59</f>
        <v>64561</v>
      </c>
      <c r="C56" s="20">
        <f t="shared" si="30"/>
        <v>187034</v>
      </c>
      <c r="D56" s="20">
        <f t="shared" si="30"/>
        <v>0</v>
      </c>
      <c r="E56" s="20">
        <f t="shared" si="30"/>
        <v>0</v>
      </c>
      <c r="F56" s="20">
        <f t="shared" si="30"/>
        <v>251595</v>
      </c>
      <c r="G56" s="20">
        <f t="shared" si="30"/>
        <v>62723</v>
      </c>
      <c r="H56" s="20">
        <f t="shared" si="30"/>
        <v>169726</v>
      </c>
      <c r="I56" s="20">
        <f t="shared" si="30"/>
        <v>0</v>
      </c>
      <c r="J56" s="20">
        <f t="shared" si="30"/>
        <v>0</v>
      </c>
      <c r="K56" s="20">
        <f t="shared" si="30"/>
        <v>232449</v>
      </c>
      <c r="L56" s="20">
        <f>+L57+L58+L59</f>
        <v>1838</v>
      </c>
      <c r="M56" s="20">
        <f>+M57+M58+M59</f>
        <v>17308</v>
      </c>
      <c r="N56" s="20"/>
      <c r="O56" s="20">
        <f>+O57+O58+O59</f>
        <v>0</v>
      </c>
      <c r="P56" s="21">
        <f>+P57+P58+P59</f>
        <v>19146</v>
      </c>
      <c r="Q56" s="18"/>
    </row>
    <row r="57" spans="1:17" ht="12.75" customHeight="1">
      <c r="A57" s="22" t="s">
        <v>16</v>
      </c>
      <c r="B57" s="29">
        <v>38677</v>
      </c>
      <c r="C57" s="29">
        <v>46881</v>
      </c>
      <c r="D57" s="29"/>
      <c r="E57" s="30"/>
      <c r="F57" s="24">
        <f>SUM(B57:E57)</f>
        <v>85558</v>
      </c>
      <c r="G57" s="29">
        <v>38205</v>
      </c>
      <c r="H57" s="29">
        <v>41697</v>
      </c>
      <c r="I57" s="29">
        <f>6-6</f>
        <v>0</v>
      </c>
      <c r="J57" s="31"/>
      <c r="K57" s="24">
        <f>SUM(G57:J57)</f>
        <v>79902</v>
      </c>
      <c r="L57" s="25">
        <f t="shared" ref="L57:M59" si="31">+B57-G57</f>
        <v>472</v>
      </c>
      <c r="M57" s="25">
        <f t="shared" si="31"/>
        <v>5184</v>
      </c>
      <c r="N57" s="25"/>
      <c r="O57" s="25">
        <f>+E57-J57</f>
        <v>0</v>
      </c>
      <c r="P57" s="26">
        <f>SUM(L57:O57)</f>
        <v>5656</v>
      </c>
      <c r="Q57" s="18"/>
    </row>
    <row r="58" spans="1:17" ht="12.75" customHeight="1">
      <c r="A58" s="23" t="s">
        <v>17</v>
      </c>
      <c r="B58" s="29">
        <v>21063</v>
      </c>
      <c r="C58" s="34"/>
      <c r="D58" s="34"/>
      <c r="E58" s="30"/>
      <c r="F58" s="24">
        <f>SUM(B58:E58)</f>
        <v>21063</v>
      </c>
      <c r="G58" s="29">
        <f>13334+6710</f>
        <v>20044</v>
      </c>
      <c r="H58" s="29"/>
      <c r="I58" s="29"/>
      <c r="J58" s="39"/>
      <c r="K58" s="24">
        <f>SUM(G58:J58)</f>
        <v>20044</v>
      </c>
      <c r="L58" s="25">
        <f t="shared" si="31"/>
        <v>1019</v>
      </c>
      <c r="M58" s="25">
        <f t="shared" si="31"/>
        <v>0</v>
      </c>
      <c r="N58" s="25"/>
      <c r="O58" s="25">
        <f>+E58-J58</f>
        <v>0</v>
      </c>
      <c r="P58" s="26">
        <f>SUM(L58:O58)</f>
        <v>1019</v>
      </c>
      <c r="Q58" s="18"/>
    </row>
    <row r="59" spans="1:17" ht="12.75" customHeight="1">
      <c r="A59" s="22" t="s">
        <v>18</v>
      </c>
      <c r="B59" s="29">
        <v>4821</v>
      </c>
      <c r="C59" s="29">
        <v>140153</v>
      </c>
      <c r="D59" s="29"/>
      <c r="E59" s="35"/>
      <c r="F59" s="24">
        <f>SUM(B59:E59)</f>
        <v>144974</v>
      </c>
      <c r="G59" s="29">
        <v>4474</v>
      </c>
      <c r="H59" s="29">
        <f>127980+49</f>
        <v>128029</v>
      </c>
      <c r="I59" s="29">
        <f>49-49</f>
        <v>0</v>
      </c>
      <c r="J59" s="39"/>
      <c r="K59" s="24">
        <f>SUM(G59:J59)</f>
        <v>132503</v>
      </c>
      <c r="L59" s="25">
        <f t="shared" si="31"/>
        <v>347</v>
      </c>
      <c r="M59" s="25">
        <f t="shared" si="31"/>
        <v>12124</v>
      </c>
      <c r="N59" s="25"/>
      <c r="O59" s="25">
        <f>+E59-J59</f>
        <v>0</v>
      </c>
      <c r="P59" s="26">
        <f>SUM(L59:O59)</f>
        <v>12471</v>
      </c>
      <c r="Q59" s="18"/>
    </row>
    <row r="60" spans="1:17" ht="12.75" customHeight="1">
      <c r="A60" s="22" t="s">
        <v>19</v>
      </c>
      <c r="B60" s="27">
        <f t="shared" ref="B60:K60" si="32">+B61+B62</f>
        <v>0</v>
      </c>
      <c r="C60" s="27">
        <f t="shared" si="32"/>
        <v>24861</v>
      </c>
      <c r="D60" s="27">
        <f t="shared" si="32"/>
        <v>0</v>
      </c>
      <c r="E60" s="27">
        <f t="shared" si="32"/>
        <v>0</v>
      </c>
      <c r="F60" s="27">
        <f t="shared" si="32"/>
        <v>24861</v>
      </c>
      <c r="G60" s="27">
        <f t="shared" si="32"/>
        <v>0</v>
      </c>
      <c r="H60" s="27">
        <f t="shared" si="32"/>
        <v>23768</v>
      </c>
      <c r="I60" s="27">
        <f t="shared" si="32"/>
        <v>0</v>
      </c>
      <c r="J60" s="27">
        <f t="shared" si="32"/>
        <v>0</v>
      </c>
      <c r="K60" s="27">
        <f t="shared" si="32"/>
        <v>23768</v>
      </c>
      <c r="L60" s="27">
        <f>+L61+L62</f>
        <v>0</v>
      </c>
      <c r="M60" s="27">
        <f>+M61+M62</f>
        <v>1093</v>
      </c>
      <c r="N60" s="27"/>
      <c r="O60" s="27">
        <f>+O61+O62</f>
        <v>0</v>
      </c>
      <c r="P60" s="28">
        <f>+P61+P62</f>
        <v>1093</v>
      </c>
      <c r="Q60" s="18"/>
    </row>
    <row r="61" spans="1:17" ht="12.75" customHeight="1">
      <c r="A61" s="23" t="s">
        <v>20</v>
      </c>
      <c r="B61" s="29"/>
      <c r="C61" s="29">
        <v>1092</v>
      </c>
      <c r="D61" s="29"/>
      <c r="E61" s="30"/>
      <c r="F61" s="24">
        <f>SUM(B61:E61)</f>
        <v>1092</v>
      </c>
      <c r="G61" s="29"/>
      <c r="H61" s="29"/>
      <c r="I61" s="29"/>
      <c r="J61" s="29"/>
      <c r="K61" s="24">
        <f>SUM(G61:J61)</f>
        <v>0</v>
      </c>
      <c r="L61" s="25">
        <f>+B61-G61</f>
        <v>0</v>
      </c>
      <c r="M61" s="25">
        <f>+C61-H61</f>
        <v>1092</v>
      </c>
      <c r="N61" s="25"/>
      <c r="O61" s="25">
        <f>+E61-J61</f>
        <v>0</v>
      </c>
      <c r="P61" s="26">
        <f>SUM(L61:O61)</f>
        <v>1092</v>
      </c>
      <c r="Q61" s="18"/>
    </row>
    <row r="62" spans="1:17" ht="12.75" customHeight="1">
      <c r="A62" s="23" t="s">
        <v>21</v>
      </c>
      <c r="B62" s="29"/>
      <c r="C62" s="29">
        <v>23769</v>
      </c>
      <c r="D62" s="29"/>
      <c r="E62" s="30"/>
      <c r="F62" s="24">
        <f>SUM(B62:E62)</f>
        <v>23769</v>
      </c>
      <c r="G62" s="29"/>
      <c r="H62" s="29">
        <v>23768</v>
      </c>
      <c r="I62" s="29"/>
      <c r="J62" s="29"/>
      <c r="K62" s="24">
        <f>SUM(G62:J62)</f>
        <v>23768</v>
      </c>
      <c r="L62" s="25">
        <f>+B62-G62</f>
        <v>0</v>
      </c>
      <c r="M62" s="25">
        <f>+C62-H62</f>
        <v>1</v>
      </c>
      <c r="N62" s="25"/>
      <c r="O62" s="25">
        <f>+E62-J62</f>
        <v>0</v>
      </c>
      <c r="P62" s="26">
        <f>SUM(L62:O62)</f>
        <v>1</v>
      </c>
      <c r="Q62" s="18"/>
    </row>
    <row r="63" spans="1:17" ht="12.75" customHeight="1">
      <c r="A63" s="217"/>
      <c r="B63" s="44"/>
      <c r="C63" s="44"/>
      <c r="D63" s="44"/>
      <c r="E63" s="45"/>
      <c r="F63" s="77"/>
      <c r="G63" s="84"/>
      <c r="H63" s="84"/>
      <c r="I63" s="84"/>
      <c r="J63" s="84"/>
      <c r="K63" s="82"/>
      <c r="L63" s="44"/>
      <c r="M63" s="44"/>
      <c r="N63" s="44"/>
      <c r="O63" s="44"/>
      <c r="P63" s="75"/>
      <c r="Q63" s="76"/>
    </row>
    <row r="64" spans="1:17" ht="12.75" customHeight="1">
      <c r="A64" s="215" t="s">
        <v>157</v>
      </c>
      <c r="B64" s="17">
        <f t="shared" ref="B64:K64" si="33">+B65+B69</f>
        <v>16592</v>
      </c>
      <c r="C64" s="17">
        <f t="shared" si="33"/>
        <v>8311</v>
      </c>
      <c r="D64" s="17">
        <f t="shared" si="33"/>
        <v>0</v>
      </c>
      <c r="E64" s="17">
        <f t="shared" si="33"/>
        <v>2490</v>
      </c>
      <c r="F64" s="17">
        <f t="shared" si="33"/>
        <v>27393</v>
      </c>
      <c r="G64" s="17">
        <f t="shared" si="33"/>
        <v>16591</v>
      </c>
      <c r="H64" s="17">
        <f t="shared" si="33"/>
        <v>8059</v>
      </c>
      <c r="I64" s="17">
        <f t="shared" si="33"/>
        <v>0</v>
      </c>
      <c r="J64" s="17">
        <f t="shared" si="33"/>
        <v>0</v>
      </c>
      <c r="K64" s="17">
        <f t="shared" si="33"/>
        <v>24650</v>
      </c>
      <c r="L64" s="17">
        <f>+L65+L69</f>
        <v>1</v>
      </c>
      <c r="M64" s="17">
        <f>+M65+M69</f>
        <v>252</v>
      </c>
      <c r="N64" s="17"/>
      <c r="O64" s="17">
        <f>+O65+O69</f>
        <v>2490</v>
      </c>
      <c r="P64" s="17">
        <f>+P65+P69</f>
        <v>2743</v>
      </c>
      <c r="Q64" s="61">
        <f>+K64/F64</f>
        <v>0.89986492899645898</v>
      </c>
    </row>
    <row r="65" spans="1:17" ht="12.75" customHeight="1">
      <c r="A65" s="41" t="s">
        <v>15</v>
      </c>
      <c r="B65" s="20">
        <f t="shared" ref="B65:K65" si="34">+B66+B67+B68</f>
        <v>16592</v>
      </c>
      <c r="C65" s="20">
        <f t="shared" si="34"/>
        <v>8311</v>
      </c>
      <c r="D65" s="20">
        <f t="shared" si="34"/>
        <v>0</v>
      </c>
      <c r="E65" s="20">
        <f t="shared" si="34"/>
        <v>2490</v>
      </c>
      <c r="F65" s="20">
        <f t="shared" si="34"/>
        <v>27393</v>
      </c>
      <c r="G65" s="20">
        <f t="shared" si="34"/>
        <v>16591</v>
      </c>
      <c r="H65" s="20">
        <f t="shared" si="34"/>
        <v>8059</v>
      </c>
      <c r="I65" s="20">
        <f t="shared" si="34"/>
        <v>0</v>
      </c>
      <c r="J65" s="20">
        <f t="shared" si="34"/>
        <v>0</v>
      </c>
      <c r="K65" s="20">
        <f t="shared" si="34"/>
        <v>24650</v>
      </c>
      <c r="L65" s="20">
        <f>+L66+L67+L68</f>
        <v>1</v>
      </c>
      <c r="M65" s="20">
        <f>+M66+M67+M68</f>
        <v>252</v>
      </c>
      <c r="N65" s="20"/>
      <c r="O65" s="20">
        <f>+O66+O67+O68</f>
        <v>2490</v>
      </c>
      <c r="P65" s="21">
        <f>+P66+P67+P68</f>
        <v>2743</v>
      </c>
      <c r="Q65" s="18"/>
    </row>
    <row r="66" spans="1:17" ht="12.75" customHeight="1">
      <c r="A66" s="22" t="s">
        <v>16</v>
      </c>
      <c r="B66" s="29">
        <v>11585</v>
      </c>
      <c r="C66" s="29">
        <v>8311</v>
      </c>
      <c r="D66" s="29"/>
      <c r="E66" s="30"/>
      <c r="F66" s="24">
        <f>SUM(B66:E66)</f>
        <v>19896</v>
      </c>
      <c r="G66" s="29">
        <f>13380-280-1453-62</f>
        <v>11585</v>
      </c>
      <c r="H66" s="29">
        <v>8059</v>
      </c>
      <c r="I66" s="29"/>
      <c r="J66" s="29"/>
      <c r="K66" s="24">
        <f>SUM(G66:J66)</f>
        <v>19644</v>
      </c>
      <c r="L66" s="25">
        <f t="shared" ref="L66:M68" si="35">+B66-G66</f>
        <v>0</v>
      </c>
      <c r="M66" s="25">
        <f t="shared" si="35"/>
        <v>252</v>
      </c>
      <c r="N66" s="25"/>
      <c r="O66" s="25">
        <f>+E66-J66</f>
        <v>0</v>
      </c>
      <c r="P66" s="26">
        <f>SUM(L66:O66)</f>
        <v>252</v>
      </c>
      <c r="Q66" s="18"/>
    </row>
    <row r="67" spans="1:17" ht="12.75" customHeight="1">
      <c r="A67" s="23" t="s">
        <v>17</v>
      </c>
      <c r="B67" s="29">
        <v>3928</v>
      </c>
      <c r="C67" s="34"/>
      <c r="D67" s="34"/>
      <c r="E67" s="30"/>
      <c r="F67" s="24">
        <f>SUM(B67:E67)</f>
        <v>3928</v>
      </c>
      <c r="G67" s="29">
        <f>280+2195+1453</f>
        <v>3928</v>
      </c>
      <c r="H67" s="34"/>
      <c r="I67" s="34"/>
      <c r="J67" s="34"/>
      <c r="K67" s="24">
        <f>SUM(G67:J67)</f>
        <v>3928</v>
      </c>
      <c r="L67" s="25">
        <f t="shared" si="35"/>
        <v>0</v>
      </c>
      <c r="M67" s="25">
        <f t="shared" si="35"/>
        <v>0</v>
      </c>
      <c r="N67" s="25"/>
      <c r="O67" s="25">
        <f>+E67-J67</f>
        <v>0</v>
      </c>
      <c r="P67" s="26">
        <f>SUM(L67:O67)</f>
        <v>0</v>
      </c>
      <c r="Q67" s="18"/>
    </row>
    <row r="68" spans="1:17" ht="12.75" customHeight="1">
      <c r="A68" s="22" t="s">
        <v>18</v>
      </c>
      <c r="B68" s="29">
        <v>1079</v>
      </c>
      <c r="C68" s="34"/>
      <c r="D68" s="34"/>
      <c r="E68" s="30">
        <v>2490</v>
      </c>
      <c r="F68" s="24">
        <f>SUM(B68:E68)</f>
        <v>3569</v>
      </c>
      <c r="G68" s="29">
        <f>1016+62</f>
        <v>1078</v>
      </c>
      <c r="H68" s="34"/>
      <c r="I68" s="34"/>
      <c r="J68" s="34"/>
      <c r="K68" s="24">
        <f>SUM(G68:J68)</f>
        <v>1078</v>
      </c>
      <c r="L68" s="25">
        <f t="shared" si="35"/>
        <v>1</v>
      </c>
      <c r="M68" s="25">
        <f t="shared" si="35"/>
        <v>0</v>
      </c>
      <c r="N68" s="25"/>
      <c r="O68" s="25">
        <f>+E68-J68</f>
        <v>2490</v>
      </c>
      <c r="P68" s="26">
        <f>SUM(L68:O68)</f>
        <v>2491</v>
      </c>
      <c r="Q68" s="18"/>
    </row>
    <row r="69" spans="1:17" ht="12.75" customHeight="1">
      <c r="A69" s="22" t="s">
        <v>19</v>
      </c>
      <c r="B69" s="27">
        <f t="shared" ref="B69:K69" si="36">+B70+B71</f>
        <v>0</v>
      </c>
      <c r="C69" s="27">
        <f t="shared" si="36"/>
        <v>0</v>
      </c>
      <c r="D69" s="27">
        <f t="shared" si="36"/>
        <v>0</v>
      </c>
      <c r="E69" s="27">
        <f t="shared" si="36"/>
        <v>0</v>
      </c>
      <c r="F69" s="27">
        <f t="shared" si="36"/>
        <v>0</v>
      </c>
      <c r="G69" s="27">
        <f t="shared" si="36"/>
        <v>0</v>
      </c>
      <c r="H69" s="27">
        <f t="shared" si="36"/>
        <v>0</v>
      </c>
      <c r="I69" s="27">
        <f t="shared" si="36"/>
        <v>0</v>
      </c>
      <c r="J69" s="27">
        <f t="shared" si="36"/>
        <v>0</v>
      </c>
      <c r="K69" s="27">
        <f t="shared" si="36"/>
        <v>0</v>
      </c>
      <c r="L69" s="27">
        <f>+L70+L71</f>
        <v>0</v>
      </c>
      <c r="M69" s="27">
        <f>+M70+M71</f>
        <v>0</v>
      </c>
      <c r="N69" s="27"/>
      <c r="O69" s="27">
        <f>+O70+O71</f>
        <v>0</v>
      </c>
      <c r="P69" s="28">
        <f>+P70+P71</f>
        <v>0</v>
      </c>
      <c r="Q69" s="18"/>
    </row>
    <row r="70" spans="1:17" ht="12.75" customHeight="1">
      <c r="A70" s="23" t="s">
        <v>20</v>
      </c>
      <c r="B70" s="29"/>
      <c r="C70" s="29"/>
      <c r="D70" s="29"/>
      <c r="E70" s="30">
        <f>J70</f>
        <v>0</v>
      </c>
      <c r="F70" s="24">
        <f>SUM(B70:E70)</f>
        <v>0</v>
      </c>
      <c r="G70" s="29"/>
      <c r="H70" s="29"/>
      <c r="I70" s="29"/>
      <c r="J70" s="29"/>
      <c r="K70" s="24">
        <f>SUM(G70:J70)</f>
        <v>0</v>
      </c>
      <c r="L70" s="25">
        <f>+B70-G70</f>
        <v>0</v>
      </c>
      <c r="M70" s="25">
        <f>+C70-H70</f>
        <v>0</v>
      </c>
      <c r="N70" s="25"/>
      <c r="O70" s="25">
        <f>+E70-J70</f>
        <v>0</v>
      </c>
      <c r="P70" s="26">
        <f>SUM(L70:O70)</f>
        <v>0</v>
      </c>
      <c r="Q70" s="18"/>
    </row>
    <row r="71" spans="1:17" ht="12.75" customHeight="1">
      <c r="A71" s="23" t="s">
        <v>21</v>
      </c>
      <c r="B71" s="29"/>
      <c r="C71" s="29"/>
      <c r="D71" s="29"/>
      <c r="E71" s="30"/>
      <c r="F71" s="24">
        <f>SUM(B71:E71)</f>
        <v>0</v>
      </c>
      <c r="G71" s="29"/>
      <c r="H71" s="29"/>
      <c r="I71" s="29"/>
      <c r="J71" s="29"/>
      <c r="K71" s="24">
        <f>SUM(G71:J71)</f>
        <v>0</v>
      </c>
      <c r="L71" s="25">
        <f>+B71-G71</f>
        <v>0</v>
      </c>
      <c r="M71" s="25">
        <f>+C71-H71</f>
        <v>0</v>
      </c>
      <c r="N71" s="25"/>
      <c r="O71" s="25">
        <f>+E71-J71</f>
        <v>0</v>
      </c>
      <c r="P71" s="26">
        <f>SUM(L71:O71)</f>
        <v>0</v>
      </c>
      <c r="Q71" s="18"/>
    </row>
    <row r="72" spans="1:17" ht="12.75" customHeight="1">
      <c r="A72" s="33"/>
      <c r="B72" s="25"/>
      <c r="C72" s="25"/>
      <c r="D72" s="25"/>
      <c r="E72" s="43"/>
      <c r="F72" s="24"/>
      <c r="G72" s="47"/>
      <c r="H72" s="47"/>
      <c r="I72" s="47"/>
      <c r="J72" s="47"/>
      <c r="K72" s="32"/>
      <c r="L72" s="25"/>
      <c r="M72" s="25"/>
      <c r="N72" s="25"/>
      <c r="O72" s="25"/>
      <c r="P72" s="26"/>
      <c r="Q72" s="18"/>
    </row>
    <row r="73" spans="1:17" ht="12.75" customHeight="1">
      <c r="A73" s="33" t="s">
        <v>158</v>
      </c>
      <c r="B73" s="17">
        <f t="shared" ref="B73:K73" si="37">+B74+B78</f>
        <v>42290</v>
      </c>
      <c r="C73" s="17">
        <f t="shared" si="37"/>
        <v>20236</v>
      </c>
      <c r="D73" s="17">
        <f t="shared" si="37"/>
        <v>0</v>
      </c>
      <c r="E73" s="17">
        <f t="shared" si="37"/>
        <v>1490</v>
      </c>
      <c r="F73" s="17">
        <f t="shared" si="37"/>
        <v>64016</v>
      </c>
      <c r="G73" s="17">
        <f t="shared" si="37"/>
        <v>40267</v>
      </c>
      <c r="H73" s="17">
        <f t="shared" si="37"/>
        <v>18630</v>
      </c>
      <c r="I73" s="17">
        <f t="shared" si="37"/>
        <v>0</v>
      </c>
      <c r="J73" s="17">
        <f t="shared" si="37"/>
        <v>1490</v>
      </c>
      <c r="K73" s="17">
        <f t="shared" si="37"/>
        <v>60387</v>
      </c>
      <c r="L73" s="17">
        <f>+L74+L78</f>
        <v>2023</v>
      </c>
      <c r="M73" s="17">
        <f>+M74+M78</f>
        <v>1606</v>
      </c>
      <c r="N73" s="17"/>
      <c r="O73" s="17">
        <f>+O74+O78</f>
        <v>0</v>
      </c>
      <c r="P73" s="17">
        <f>+P74+P78</f>
        <v>3629</v>
      </c>
      <c r="Q73" s="18">
        <f>+K73/F73</f>
        <v>0.94331104723819048</v>
      </c>
    </row>
    <row r="74" spans="1:17" ht="12.75" customHeight="1">
      <c r="A74" s="41" t="s">
        <v>15</v>
      </c>
      <c r="B74" s="20">
        <f t="shared" ref="B74:K74" si="38">+B75+B76+B77</f>
        <v>42290</v>
      </c>
      <c r="C74" s="20">
        <f t="shared" si="38"/>
        <v>20236</v>
      </c>
      <c r="D74" s="20">
        <f t="shared" si="38"/>
        <v>0</v>
      </c>
      <c r="E74" s="20">
        <f t="shared" si="38"/>
        <v>1490</v>
      </c>
      <c r="F74" s="20">
        <f t="shared" si="38"/>
        <v>64016</v>
      </c>
      <c r="G74" s="20">
        <f t="shared" si="38"/>
        <v>40267</v>
      </c>
      <c r="H74" s="20">
        <f t="shared" si="38"/>
        <v>18630</v>
      </c>
      <c r="I74" s="20">
        <f t="shared" si="38"/>
        <v>0</v>
      </c>
      <c r="J74" s="20">
        <f t="shared" si="38"/>
        <v>1490</v>
      </c>
      <c r="K74" s="20">
        <f t="shared" si="38"/>
        <v>60387</v>
      </c>
      <c r="L74" s="20">
        <f>+L75+L76+L77</f>
        <v>2023</v>
      </c>
      <c r="M74" s="20">
        <f>+M75+M76+M77</f>
        <v>1606</v>
      </c>
      <c r="N74" s="20"/>
      <c r="O74" s="20">
        <f>+O75+O76+O77</f>
        <v>0</v>
      </c>
      <c r="P74" s="21">
        <f>+P75+P76+P77</f>
        <v>3629</v>
      </c>
      <c r="Q74" s="18"/>
    </row>
    <row r="75" spans="1:17" ht="12.75" customHeight="1">
      <c r="A75" s="22" t="s">
        <v>16</v>
      </c>
      <c r="B75" s="29">
        <v>35407</v>
      </c>
      <c r="C75" s="29">
        <v>20236</v>
      </c>
      <c r="D75" s="29"/>
      <c r="E75" s="30">
        <v>1490</v>
      </c>
      <c r="F75" s="24">
        <f>SUM(B75:E75)</f>
        <v>57133</v>
      </c>
      <c r="G75" s="29">
        <v>35218</v>
      </c>
      <c r="H75" s="29">
        <v>18630</v>
      </c>
      <c r="I75" s="29"/>
      <c r="J75" s="29">
        <v>1490</v>
      </c>
      <c r="K75" s="24">
        <f>SUM(G75:J75)</f>
        <v>55338</v>
      </c>
      <c r="L75" s="25">
        <f t="shared" ref="L75:M77" si="39">+B75-G75</f>
        <v>189</v>
      </c>
      <c r="M75" s="25">
        <f t="shared" si="39"/>
        <v>1606</v>
      </c>
      <c r="N75" s="25"/>
      <c r="O75" s="25">
        <f>+E75-J75</f>
        <v>0</v>
      </c>
      <c r="P75" s="26">
        <f>SUM(L75:O75)</f>
        <v>1795</v>
      </c>
      <c r="Q75" s="18"/>
    </row>
    <row r="76" spans="1:17" ht="12.75" customHeight="1">
      <c r="A76" s="23" t="s">
        <v>17</v>
      </c>
      <c r="B76" s="29">
        <v>3509</v>
      </c>
      <c r="C76" s="34"/>
      <c r="D76" s="34"/>
      <c r="E76" s="30"/>
      <c r="F76" s="24">
        <f>SUM(B76:E76)</f>
        <v>3509</v>
      </c>
      <c r="G76" s="29">
        <v>1944</v>
      </c>
      <c r="H76" s="34"/>
      <c r="I76" s="34"/>
      <c r="J76" s="34"/>
      <c r="K76" s="24">
        <f>SUM(G76:J76)</f>
        <v>1944</v>
      </c>
      <c r="L76" s="25">
        <f t="shared" si="39"/>
        <v>1565</v>
      </c>
      <c r="M76" s="25">
        <f t="shared" si="39"/>
        <v>0</v>
      </c>
      <c r="N76" s="25"/>
      <c r="O76" s="25">
        <f>+E76-J76</f>
        <v>0</v>
      </c>
      <c r="P76" s="26">
        <f>SUM(L76:O76)</f>
        <v>1565</v>
      </c>
      <c r="Q76" s="18"/>
    </row>
    <row r="77" spans="1:17" ht="12.75" customHeight="1">
      <c r="A77" s="22" t="s">
        <v>18</v>
      </c>
      <c r="B77" s="29">
        <v>3374</v>
      </c>
      <c r="C77" s="34"/>
      <c r="D77" s="34"/>
      <c r="E77" s="35"/>
      <c r="F77" s="24">
        <f>SUM(B77:E77)</f>
        <v>3374</v>
      </c>
      <c r="G77" s="29">
        <v>3105</v>
      </c>
      <c r="H77" s="34"/>
      <c r="I77" s="34"/>
      <c r="J77" s="34"/>
      <c r="K77" s="24">
        <f>SUM(G77:J77)</f>
        <v>3105</v>
      </c>
      <c r="L77" s="25">
        <f t="shared" si="39"/>
        <v>269</v>
      </c>
      <c r="M77" s="25">
        <f t="shared" si="39"/>
        <v>0</v>
      </c>
      <c r="N77" s="25"/>
      <c r="O77" s="25">
        <f>+E77-J77</f>
        <v>0</v>
      </c>
      <c r="P77" s="26">
        <f>SUM(L77:O77)</f>
        <v>269</v>
      </c>
      <c r="Q77" s="18"/>
    </row>
    <row r="78" spans="1:17" ht="12.75" customHeight="1">
      <c r="A78" s="22" t="s">
        <v>19</v>
      </c>
      <c r="B78" s="27">
        <f t="shared" ref="B78:K78" si="40">+B79+B80</f>
        <v>0</v>
      </c>
      <c r="C78" s="27">
        <f t="shared" si="40"/>
        <v>0</v>
      </c>
      <c r="D78" s="27">
        <f t="shared" si="40"/>
        <v>0</v>
      </c>
      <c r="E78" s="27">
        <f t="shared" si="40"/>
        <v>0</v>
      </c>
      <c r="F78" s="27">
        <f t="shared" si="40"/>
        <v>0</v>
      </c>
      <c r="G78" s="27">
        <f t="shared" si="40"/>
        <v>0</v>
      </c>
      <c r="H78" s="27">
        <f t="shared" si="40"/>
        <v>0</v>
      </c>
      <c r="I78" s="27">
        <f t="shared" si="40"/>
        <v>0</v>
      </c>
      <c r="J78" s="27">
        <f t="shared" si="40"/>
        <v>0</v>
      </c>
      <c r="K78" s="27">
        <f t="shared" si="40"/>
        <v>0</v>
      </c>
      <c r="L78" s="27">
        <f>+L79+L80</f>
        <v>0</v>
      </c>
      <c r="M78" s="27">
        <f>+M79+M80</f>
        <v>0</v>
      </c>
      <c r="N78" s="27"/>
      <c r="O78" s="27">
        <f>+O79+O80</f>
        <v>0</v>
      </c>
      <c r="P78" s="28">
        <f>+P79+P80</f>
        <v>0</v>
      </c>
      <c r="Q78" s="18"/>
    </row>
    <row r="79" spans="1:17" ht="12.75" customHeight="1">
      <c r="A79" s="23" t="s">
        <v>20</v>
      </c>
      <c r="B79" s="29"/>
      <c r="C79" s="29"/>
      <c r="D79" s="29"/>
      <c r="E79" s="30"/>
      <c r="F79" s="24">
        <f>SUM(B79:E79)</f>
        <v>0</v>
      </c>
      <c r="G79" s="29"/>
      <c r="H79" s="29"/>
      <c r="I79" s="29"/>
      <c r="J79" s="29"/>
      <c r="K79" s="24">
        <f>SUM(G79:J79)</f>
        <v>0</v>
      </c>
      <c r="L79" s="25">
        <f>+B79-G79</f>
        <v>0</v>
      </c>
      <c r="M79" s="25">
        <f>+C79-H79</f>
        <v>0</v>
      </c>
      <c r="N79" s="25"/>
      <c r="O79" s="25">
        <f>+E79-J79</f>
        <v>0</v>
      </c>
      <c r="P79" s="26">
        <f>SUM(L79:O79)</f>
        <v>0</v>
      </c>
      <c r="Q79" s="18"/>
    </row>
    <row r="80" spans="1:17" ht="12.75" customHeight="1">
      <c r="A80" s="23" t="s">
        <v>21</v>
      </c>
      <c r="B80" s="29"/>
      <c r="C80" s="29"/>
      <c r="D80" s="29"/>
      <c r="E80" s="30"/>
      <c r="F80" s="24">
        <f>SUM(B80:E80)</f>
        <v>0</v>
      </c>
      <c r="G80" s="29"/>
      <c r="H80" s="29"/>
      <c r="I80" s="29"/>
      <c r="J80" s="29"/>
      <c r="K80" s="24">
        <f>SUM(G80:J80)</f>
        <v>0</v>
      </c>
      <c r="L80" s="25">
        <f>+B80-G80</f>
        <v>0</v>
      </c>
      <c r="M80" s="25">
        <f>+C80-H80</f>
        <v>0</v>
      </c>
      <c r="N80" s="25"/>
      <c r="O80" s="25">
        <f>+E80-J80</f>
        <v>0</v>
      </c>
      <c r="P80" s="26">
        <f>SUM(L80:O80)</f>
        <v>0</v>
      </c>
      <c r="Q80" s="18"/>
    </row>
    <row r="81" spans="1:17" ht="12.75" customHeight="1">
      <c r="A81" s="65"/>
      <c r="B81" s="44"/>
      <c r="C81" s="44"/>
      <c r="D81" s="44"/>
      <c r="E81" s="45"/>
      <c r="F81" s="77"/>
      <c r="G81" s="84"/>
      <c r="H81" s="84"/>
      <c r="I81" s="84"/>
      <c r="J81" s="84"/>
      <c r="K81" s="82"/>
      <c r="L81" s="44"/>
      <c r="M81" s="44"/>
      <c r="N81" s="44"/>
      <c r="O81" s="44"/>
      <c r="P81" s="75"/>
      <c r="Q81" s="76"/>
    </row>
    <row r="82" spans="1:17">
      <c r="A82" s="80"/>
    </row>
    <row r="83" spans="1:17">
      <c r="A83" s="80" t="s">
        <v>355</v>
      </c>
    </row>
    <row r="84" spans="1:17">
      <c r="A84" s="80"/>
    </row>
    <row r="85" spans="1:17">
      <c r="A85" s="80"/>
    </row>
    <row r="86" spans="1:17">
      <c r="A86" s="80"/>
    </row>
    <row r="87" spans="1:17">
      <c r="A87" s="80"/>
    </row>
    <row r="88" spans="1:17">
      <c r="A88" s="80"/>
    </row>
    <row r="89" spans="1:17">
      <c r="A89" s="80"/>
    </row>
    <row r="90" spans="1:17">
      <c r="A90" s="80"/>
    </row>
    <row r="91" spans="1:17">
      <c r="A91" s="80"/>
    </row>
    <row r="92" spans="1:17">
      <c r="A92" s="80"/>
    </row>
    <row r="93" spans="1:17">
      <c r="A93" s="80"/>
    </row>
    <row r="94" spans="1:17">
      <c r="A94" s="80"/>
    </row>
    <row r="95" spans="1:17">
      <c r="A95" s="80"/>
    </row>
    <row r="96" spans="1:17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  <row r="1128" spans="1:1">
      <c r="A1128" s="80"/>
    </row>
    <row r="1129" spans="1:1">
      <c r="A1129" s="80"/>
    </row>
    <row r="1130" spans="1:1">
      <c r="A1130" s="80"/>
    </row>
    <row r="1131" spans="1:1">
      <c r="A1131" s="80"/>
    </row>
    <row r="1132" spans="1:1">
      <c r="A1132" s="80"/>
    </row>
    <row r="1133" spans="1:1">
      <c r="A1133" s="80"/>
    </row>
    <row r="1134" spans="1:1">
      <c r="A1134" s="80"/>
    </row>
    <row r="1135" spans="1:1">
      <c r="A1135" s="80"/>
    </row>
    <row r="1136" spans="1:1">
      <c r="A1136" s="80"/>
    </row>
    <row r="1137" spans="1:1">
      <c r="A1137" s="80"/>
    </row>
    <row r="1138" spans="1:1">
      <c r="A1138" s="80"/>
    </row>
    <row r="1139" spans="1:1">
      <c r="A1139" s="80"/>
    </row>
    <row r="1140" spans="1:1">
      <c r="A1140" s="80"/>
    </row>
    <row r="1141" spans="1:1">
      <c r="A1141" s="80"/>
    </row>
    <row r="1142" spans="1:1">
      <c r="A1142" s="80"/>
    </row>
    <row r="1143" spans="1:1">
      <c r="A1143" s="80"/>
    </row>
    <row r="1144" spans="1:1">
      <c r="A1144" s="80"/>
    </row>
    <row r="1145" spans="1:1">
      <c r="A1145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2" fitToWidth="0" fitToHeight="0" orientation="landscape" r:id="rId1"/>
  <headerFooter alignWithMargins="0">
    <oddFooter>Page &amp;P of &amp;N</oddFooter>
  </headerFooter>
  <rowBreaks count="1" manualBreakCount="1">
    <brk id="63" max="1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981"/>
  <sheetViews>
    <sheetView showRuler="0" zoomScaleSheetLayoutView="100" workbookViewId="0">
      <pane xSplit="1" ySplit="8" topLeftCell="B48" activePane="bottomRight" state="frozen"/>
      <selection activeCell="A155" sqref="A155:Q155"/>
      <selection pane="topRight" activeCell="A155" sqref="A155:Q155"/>
      <selection pane="bottomLeft" activeCell="A155" sqref="A155:Q155"/>
      <selection pane="bottomRight" activeCell="A155" sqref="A155:Q155"/>
    </sheetView>
  </sheetViews>
  <sheetFormatPr defaultRowHeight="12.75"/>
  <cols>
    <col min="1" max="1" width="38.8554687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1" t="s">
        <v>159</v>
      </c>
      <c r="B10" s="17">
        <f t="shared" ref="B10:P10" si="0">+B11+B15</f>
        <v>657395</v>
      </c>
      <c r="C10" s="17">
        <f t="shared" si="0"/>
        <v>583766</v>
      </c>
      <c r="D10" s="17"/>
      <c r="E10" s="17">
        <f t="shared" si="0"/>
        <v>214715</v>
      </c>
      <c r="F10" s="17">
        <f t="shared" si="0"/>
        <v>1455876</v>
      </c>
      <c r="G10" s="17">
        <f t="shared" si="0"/>
        <v>642057</v>
      </c>
      <c r="H10" s="17">
        <f t="shared" si="0"/>
        <v>581300</v>
      </c>
      <c r="I10" s="17"/>
      <c r="J10" s="17">
        <f t="shared" si="0"/>
        <v>213580</v>
      </c>
      <c r="K10" s="17">
        <f t="shared" si="0"/>
        <v>1436937</v>
      </c>
      <c r="L10" s="17">
        <f t="shared" si="0"/>
        <v>15338</v>
      </c>
      <c r="M10" s="17">
        <f t="shared" si="0"/>
        <v>2466</v>
      </c>
      <c r="N10" s="17"/>
      <c r="O10" s="17">
        <f t="shared" si="0"/>
        <v>1135</v>
      </c>
      <c r="P10" s="17">
        <f t="shared" si="0"/>
        <v>18939</v>
      </c>
      <c r="Q10" s="18">
        <f>+K10/F10</f>
        <v>0.98699133717431975</v>
      </c>
    </row>
    <row r="11" spans="1:18" ht="12.75" customHeight="1">
      <c r="A11" s="41" t="s">
        <v>15</v>
      </c>
      <c r="B11" s="20">
        <f t="shared" ref="B11:P11" si="1">+B12+B13+B14</f>
        <v>657395</v>
      </c>
      <c r="C11" s="20">
        <f t="shared" si="1"/>
        <v>583197</v>
      </c>
      <c r="D11" s="20"/>
      <c r="E11" s="20">
        <f t="shared" si="1"/>
        <v>84091</v>
      </c>
      <c r="F11" s="20">
        <f t="shared" si="1"/>
        <v>1324683</v>
      </c>
      <c r="G11" s="20">
        <f t="shared" si="1"/>
        <v>642057</v>
      </c>
      <c r="H11" s="20">
        <f t="shared" si="1"/>
        <v>580807</v>
      </c>
      <c r="I11" s="20"/>
      <c r="J11" s="20">
        <f t="shared" si="1"/>
        <v>83581</v>
      </c>
      <c r="K11" s="20">
        <f t="shared" si="1"/>
        <v>1306445</v>
      </c>
      <c r="L11" s="20">
        <f t="shared" si="1"/>
        <v>15338</v>
      </c>
      <c r="M11" s="20">
        <f t="shared" si="1"/>
        <v>2390</v>
      </c>
      <c r="N11" s="20"/>
      <c r="O11" s="20">
        <f t="shared" si="1"/>
        <v>510</v>
      </c>
      <c r="P11" s="21">
        <f t="shared" si="1"/>
        <v>18238</v>
      </c>
      <c r="Q11" s="18"/>
    </row>
    <row r="12" spans="1:18" ht="12.75" customHeight="1">
      <c r="A12" s="22" t="s">
        <v>16</v>
      </c>
      <c r="B12" s="23">
        <f t="shared" ref="B12:E14" si="2">+B21+B30+B39+B48+B57+B66+B75</f>
        <v>553588</v>
      </c>
      <c r="C12" s="23">
        <f t="shared" si="2"/>
        <v>490680</v>
      </c>
      <c r="D12" s="23"/>
      <c r="E12" s="23">
        <f t="shared" si="2"/>
        <v>84091</v>
      </c>
      <c r="F12" s="24">
        <f>SUM(B12:E12)</f>
        <v>1128359</v>
      </c>
      <c r="G12" s="23">
        <f t="shared" ref="G12:J14" si="3">+G21+G30+G39+G48+G57+G66+G75</f>
        <v>551062</v>
      </c>
      <c r="H12" s="23">
        <f t="shared" si="3"/>
        <v>490669</v>
      </c>
      <c r="I12" s="23"/>
      <c r="J12" s="23">
        <f t="shared" si="3"/>
        <v>83581</v>
      </c>
      <c r="K12" s="24">
        <f>SUM(G12:J12)</f>
        <v>1125312</v>
      </c>
      <c r="L12" s="25">
        <f t="shared" ref="L12:M14" si="4">+B12-G12</f>
        <v>2526</v>
      </c>
      <c r="M12" s="25">
        <f t="shared" si="4"/>
        <v>11</v>
      </c>
      <c r="N12" s="25"/>
      <c r="O12" s="25">
        <f>+E12-J12</f>
        <v>510</v>
      </c>
      <c r="P12" s="26">
        <f>SUM(L12:O12)</f>
        <v>3047</v>
      </c>
      <c r="Q12" s="18"/>
    </row>
    <row r="13" spans="1:18" ht="12.75" customHeight="1">
      <c r="A13" s="22" t="s">
        <v>17</v>
      </c>
      <c r="B13" s="23">
        <f t="shared" si="2"/>
        <v>50535</v>
      </c>
      <c r="C13" s="23">
        <f t="shared" si="2"/>
        <v>92517</v>
      </c>
      <c r="D13" s="23"/>
      <c r="E13" s="23">
        <f t="shared" si="2"/>
        <v>0</v>
      </c>
      <c r="F13" s="24">
        <f>SUM(B13:E13)</f>
        <v>143052</v>
      </c>
      <c r="G13" s="23">
        <f t="shared" si="3"/>
        <v>39072</v>
      </c>
      <c r="H13" s="23">
        <f t="shared" si="3"/>
        <v>90138</v>
      </c>
      <c r="I13" s="23"/>
      <c r="J13" s="23">
        <f t="shared" si="3"/>
        <v>0</v>
      </c>
      <c r="K13" s="24">
        <f>SUM(G13:J13)</f>
        <v>129210</v>
      </c>
      <c r="L13" s="25">
        <f t="shared" si="4"/>
        <v>11463</v>
      </c>
      <c r="M13" s="25">
        <f t="shared" si="4"/>
        <v>2379</v>
      </c>
      <c r="N13" s="25"/>
      <c r="O13" s="25">
        <f>+E13-J13</f>
        <v>0</v>
      </c>
      <c r="P13" s="26">
        <f>SUM(L13:O13)</f>
        <v>13842</v>
      </c>
      <c r="Q13" s="18"/>
    </row>
    <row r="14" spans="1:18" ht="12.75" customHeight="1">
      <c r="A14" s="22" t="s">
        <v>18</v>
      </c>
      <c r="B14" s="23">
        <f t="shared" si="2"/>
        <v>53272</v>
      </c>
      <c r="C14" s="23">
        <f t="shared" si="2"/>
        <v>0</v>
      </c>
      <c r="D14" s="23"/>
      <c r="E14" s="23">
        <f t="shared" si="2"/>
        <v>0</v>
      </c>
      <c r="F14" s="24">
        <f>SUM(B14:E14)</f>
        <v>53272</v>
      </c>
      <c r="G14" s="23">
        <f t="shared" si="3"/>
        <v>51923</v>
      </c>
      <c r="H14" s="23">
        <f t="shared" si="3"/>
        <v>0</v>
      </c>
      <c r="I14" s="23"/>
      <c r="J14" s="23">
        <f t="shared" si="3"/>
        <v>0</v>
      </c>
      <c r="K14" s="24">
        <f>SUM(G14:J14)</f>
        <v>51923</v>
      </c>
      <c r="L14" s="25">
        <f t="shared" si="4"/>
        <v>1349</v>
      </c>
      <c r="M14" s="25">
        <f t="shared" si="4"/>
        <v>0</v>
      </c>
      <c r="N14" s="25"/>
      <c r="O14" s="25">
        <f>+E14-J14</f>
        <v>0</v>
      </c>
      <c r="P14" s="26">
        <f>SUM(L14:O14)</f>
        <v>1349</v>
      </c>
      <c r="Q14" s="18"/>
    </row>
    <row r="15" spans="1:18" ht="12.75" customHeight="1">
      <c r="A15" s="22" t="s">
        <v>19</v>
      </c>
      <c r="B15" s="44">
        <f t="shared" ref="B15:P15" si="5">+B16+B17</f>
        <v>0</v>
      </c>
      <c r="C15" s="44">
        <f t="shared" si="5"/>
        <v>569</v>
      </c>
      <c r="D15" s="44"/>
      <c r="E15" s="45">
        <f t="shared" si="5"/>
        <v>130624</v>
      </c>
      <c r="F15" s="44">
        <f t="shared" si="5"/>
        <v>131193</v>
      </c>
      <c r="G15" s="44">
        <f t="shared" si="5"/>
        <v>0</v>
      </c>
      <c r="H15" s="44">
        <f t="shared" si="5"/>
        <v>493</v>
      </c>
      <c r="I15" s="44"/>
      <c r="J15" s="45">
        <f t="shared" si="5"/>
        <v>129999</v>
      </c>
      <c r="K15" s="44">
        <f t="shared" si="5"/>
        <v>130492</v>
      </c>
      <c r="L15" s="44">
        <f t="shared" si="5"/>
        <v>0</v>
      </c>
      <c r="M15" s="44">
        <f t="shared" si="5"/>
        <v>76</v>
      </c>
      <c r="N15" s="44"/>
      <c r="O15" s="44">
        <f t="shared" si="5"/>
        <v>625</v>
      </c>
      <c r="P15" s="45">
        <f t="shared" si="5"/>
        <v>701</v>
      </c>
      <c r="Q15" s="18"/>
    </row>
    <row r="16" spans="1:18" ht="12.75" customHeight="1">
      <c r="A16" s="23" t="s">
        <v>20</v>
      </c>
      <c r="B16" s="23">
        <f t="shared" ref="B16:E17" si="6">+B25+B34+B43+B52+B61+B70+B79</f>
        <v>0</v>
      </c>
      <c r="C16" s="23">
        <f t="shared" si="6"/>
        <v>569</v>
      </c>
      <c r="D16" s="23"/>
      <c r="E16" s="23">
        <f t="shared" si="6"/>
        <v>624</v>
      </c>
      <c r="F16" s="24">
        <f>SUM(B16:E16)</f>
        <v>1193</v>
      </c>
      <c r="G16" s="23">
        <f t="shared" ref="G16:J17" si="7">+G25+G34+G43+G52+G61+G70+G79</f>
        <v>0</v>
      </c>
      <c r="H16" s="23">
        <f t="shared" si="7"/>
        <v>493</v>
      </c>
      <c r="I16" s="23"/>
      <c r="J16" s="23">
        <f t="shared" si="7"/>
        <v>105</v>
      </c>
      <c r="K16" s="24">
        <f>SUM(G16:J16)</f>
        <v>598</v>
      </c>
      <c r="L16" s="25">
        <f>+B16-G16</f>
        <v>0</v>
      </c>
      <c r="M16" s="25">
        <f>+C16-H16</f>
        <v>76</v>
      </c>
      <c r="N16" s="25"/>
      <c r="O16" s="25">
        <f>+E16-J16</f>
        <v>519</v>
      </c>
      <c r="P16" s="26">
        <f>SUM(L16:O16)</f>
        <v>595</v>
      </c>
      <c r="Q16" s="18"/>
    </row>
    <row r="17" spans="1:17" ht="12.75" customHeight="1">
      <c r="A17" s="23" t="s">
        <v>21</v>
      </c>
      <c r="B17" s="23">
        <f t="shared" si="6"/>
        <v>0</v>
      </c>
      <c r="C17" s="23">
        <f t="shared" si="6"/>
        <v>0</v>
      </c>
      <c r="D17" s="23"/>
      <c r="E17" s="23">
        <f t="shared" si="6"/>
        <v>130000</v>
      </c>
      <c r="F17" s="26">
        <f>SUM(B17:E17)</f>
        <v>130000</v>
      </c>
      <c r="G17" s="23">
        <f t="shared" si="7"/>
        <v>0</v>
      </c>
      <c r="H17" s="23">
        <f t="shared" si="7"/>
        <v>0</v>
      </c>
      <c r="I17" s="23"/>
      <c r="J17" s="23">
        <f t="shared" si="7"/>
        <v>129894</v>
      </c>
      <c r="K17" s="26">
        <f>SUM(G17:J17)</f>
        <v>129894</v>
      </c>
      <c r="L17" s="25">
        <f>+B17-G17</f>
        <v>0</v>
      </c>
      <c r="M17" s="25">
        <f>+C17-H17</f>
        <v>0</v>
      </c>
      <c r="N17" s="25"/>
      <c r="O17" s="25">
        <f>+E17-J17</f>
        <v>106</v>
      </c>
      <c r="P17" s="26">
        <f>SUM(L17:O17)</f>
        <v>106</v>
      </c>
      <c r="Q17" s="18"/>
    </row>
    <row r="18" spans="1:17" ht="12.75" customHeight="1">
      <c r="A18" s="23"/>
      <c r="B18" s="25"/>
      <c r="C18" s="25"/>
      <c r="D18" s="25"/>
      <c r="E18" s="25"/>
      <c r="F18" s="24"/>
      <c r="G18" s="47"/>
      <c r="H18" s="47"/>
      <c r="I18" s="47"/>
      <c r="J18" s="47"/>
      <c r="K18" s="32"/>
      <c r="L18" s="25"/>
      <c r="M18" s="25"/>
      <c r="N18" s="25"/>
      <c r="O18" s="25"/>
      <c r="P18" s="26"/>
      <c r="Q18" s="18"/>
    </row>
    <row r="19" spans="1:17" ht="12.75" customHeight="1">
      <c r="A19" s="215" t="s">
        <v>160</v>
      </c>
      <c r="B19" s="17">
        <f t="shared" ref="B19:K19" si="8">+B20+B24</f>
        <v>38581</v>
      </c>
      <c r="C19" s="17">
        <f t="shared" si="8"/>
        <v>159740</v>
      </c>
      <c r="D19" s="17">
        <f t="shared" si="8"/>
        <v>0</v>
      </c>
      <c r="E19" s="17">
        <f t="shared" si="8"/>
        <v>14296</v>
      </c>
      <c r="F19" s="17">
        <f t="shared" si="8"/>
        <v>212617</v>
      </c>
      <c r="G19" s="17">
        <f t="shared" si="8"/>
        <v>38556</v>
      </c>
      <c r="H19" s="17">
        <f t="shared" si="8"/>
        <v>159672</v>
      </c>
      <c r="I19" s="17">
        <f t="shared" si="8"/>
        <v>0</v>
      </c>
      <c r="J19" s="17">
        <f t="shared" si="8"/>
        <v>13781</v>
      </c>
      <c r="K19" s="17">
        <f t="shared" si="8"/>
        <v>212009</v>
      </c>
      <c r="L19" s="17">
        <f>+L20+L24</f>
        <v>25</v>
      </c>
      <c r="M19" s="17">
        <f>+M20+M24</f>
        <v>68</v>
      </c>
      <c r="N19" s="17"/>
      <c r="O19" s="17">
        <f>+O20+O24</f>
        <v>515</v>
      </c>
      <c r="P19" s="17">
        <f>+P20+P24</f>
        <v>608</v>
      </c>
      <c r="Q19" s="18">
        <f>+K19/F19</f>
        <v>0.99714039799263465</v>
      </c>
    </row>
    <row r="20" spans="1:17" ht="12.75" customHeight="1">
      <c r="A20" s="41" t="s">
        <v>15</v>
      </c>
      <c r="B20" s="20">
        <f t="shared" ref="B20:K20" si="9">+B21+B22+B23</f>
        <v>38581</v>
      </c>
      <c r="C20" s="20">
        <f t="shared" si="9"/>
        <v>159690</v>
      </c>
      <c r="D20" s="20">
        <f t="shared" si="9"/>
        <v>0</v>
      </c>
      <c r="E20" s="20">
        <f t="shared" si="9"/>
        <v>14291</v>
      </c>
      <c r="F20" s="20">
        <f t="shared" si="9"/>
        <v>212562</v>
      </c>
      <c r="G20" s="20">
        <f t="shared" si="9"/>
        <v>38556</v>
      </c>
      <c r="H20" s="20">
        <f t="shared" si="9"/>
        <v>159672</v>
      </c>
      <c r="I20" s="20">
        <f t="shared" si="9"/>
        <v>0</v>
      </c>
      <c r="J20" s="20">
        <f t="shared" si="9"/>
        <v>13781</v>
      </c>
      <c r="K20" s="20">
        <f t="shared" si="9"/>
        <v>212009</v>
      </c>
      <c r="L20" s="20">
        <f>+L21+L22+L23</f>
        <v>25</v>
      </c>
      <c r="M20" s="20">
        <f>+M21+M22+M23</f>
        <v>18</v>
      </c>
      <c r="N20" s="20"/>
      <c r="O20" s="20">
        <f>+O21+O22+O23</f>
        <v>510</v>
      </c>
      <c r="P20" s="21">
        <f>+P21+P22+P23</f>
        <v>553</v>
      </c>
      <c r="Q20" s="18"/>
    </row>
    <row r="21" spans="1:17" ht="12.75" customHeight="1">
      <c r="A21" s="22" t="s">
        <v>16</v>
      </c>
      <c r="B21" s="29">
        <v>33345</v>
      </c>
      <c r="C21" s="29">
        <v>154290</v>
      </c>
      <c r="D21" s="29"/>
      <c r="E21" s="30">
        <v>14291</v>
      </c>
      <c r="F21" s="24">
        <f>SUM(B21:E21)</f>
        <v>201926</v>
      </c>
      <c r="G21" s="29">
        <v>33345</v>
      </c>
      <c r="H21" s="29">
        <f>159672-5382</f>
        <v>154290</v>
      </c>
      <c r="I21" s="29"/>
      <c r="J21" s="29">
        <v>13781</v>
      </c>
      <c r="K21" s="24">
        <f>SUM(G21:J21)</f>
        <v>201416</v>
      </c>
      <c r="L21" s="25">
        <f t="shared" ref="L21:M23" si="10">+B21-G21</f>
        <v>0</v>
      </c>
      <c r="M21" s="25">
        <f t="shared" si="10"/>
        <v>0</v>
      </c>
      <c r="N21" s="25"/>
      <c r="O21" s="25">
        <f>+E21-J21</f>
        <v>510</v>
      </c>
      <c r="P21" s="26">
        <f>SUM(L21:O21)</f>
        <v>510</v>
      </c>
      <c r="Q21" s="18"/>
    </row>
    <row r="22" spans="1:17" ht="12.75" customHeight="1">
      <c r="A22" s="22" t="s">
        <v>17</v>
      </c>
      <c r="B22" s="29">
        <v>2401</v>
      </c>
      <c r="C22" s="29">
        <v>5400</v>
      </c>
      <c r="D22" s="29"/>
      <c r="E22" s="30"/>
      <c r="F22" s="24">
        <f>SUM(B22:E22)</f>
        <v>7801</v>
      </c>
      <c r="G22" s="29">
        <f>518+1150+708</f>
        <v>2376</v>
      </c>
      <c r="H22" s="29">
        <v>5382</v>
      </c>
      <c r="I22" s="29"/>
      <c r="J22" s="29"/>
      <c r="K22" s="24">
        <f>SUM(G22:J22)</f>
        <v>7758</v>
      </c>
      <c r="L22" s="25">
        <f t="shared" si="10"/>
        <v>25</v>
      </c>
      <c r="M22" s="25">
        <f t="shared" si="10"/>
        <v>18</v>
      </c>
      <c r="N22" s="25"/>
      <c r="O22" s="25">
        <f>+E22-J22</f>
        <v>0</v>
      </c>
      <c r="P22" s="26">
        <f>SUM(L22:O22)</f>
        <v>43</v>
      </c>
      <c r="Q22" s="18"/>
    </row>
    <row r="23" spans="1:17" ht="12.75" customHeight="1">
      <c r="A23" s="22" t="s">
        <v>18</v>
      </c>
      <c r="B23" s="29">
        <v>2835</v>
      </c>
      <c r="C23" s="34"/>
      <c r="D23" s="34"/>
      <c r="E23" s="35"/>
      <c r="F23" s="24">
        <f>SUM(B23:E23)</f>
        <v>2835</v>
      </c>
      <c r="G23" s="29">
        <v>2835</v>
      </c>
      <c r="H23" s="34"/>
      <c r="I23" s="34"/>
      <c r="J23" s="34"/>
      <c r="K23" s="24">
        <f>SUM(G23:J23)</f>
        <v>2835</v>
      </c>
      <c r="L23" s="25">
        <f t="shared" si="10"/>
        <v>0</v>
      </c>
      <c r="M23" s="25">
        <f t="shared" si="10"/>
        <v>0</v>
      </c>
      <c r="N23" s="25"/>
      <c r="O23" s="25">
        <f>+E23-J23</f>
        <v>0</v>
      </c>
      <c r="P23" s="26">
        <f>SUM(L23:O23)</f>
        <v>0</v>
      </c>
      <c r="Q23" s="18"/>
    </row>
    <row r="24" spans="1:17" ht="12.75" customHeight="1">
      <c r="A24" s="22" t="s">
        <v>19</v>
      </c>
      <c r="B24" s="27">
        <f t="shared" ref="B24:K24" si="11">+B25+B26</f>
        <v>0</v>
      </c>
      <c r="C24" s="27">
        <f t="shared" si="11"/>
        <v>50</v>
      </c>
      <c r="D24" s="27">
        <f t="shared" si="11"/>
        <v>0</v>
      </c>
      <c r="E24" s="27">
        <f t="shared" si="11"/>
        <v>5</v>
      </c>
      <c r="F24" s="27">
        <f t="shared" si="11"/>
        <v>55</v>
      </c>
      <c r="G24" s="27">
        <f t="shared" si="11"/>
        <v>0</v>
      </c>
      <c r="H24" s="27">
        <f t="shared" si="11"/>
        <v>0</v>
      </c>
      <c r="I24" s="27">
        <f t="shared" si="11"/>
        <v>0</v>
      </c>
      <c r="J24" s="27">
        <f t="shared" si="11"/>
        <v>0</v>
      </c>
      <c r="K24" s="27">
        <f t="shared" si="11"/>
        <v>0</v>
      </c>
      <c r="L24" s="27">
        <f>+L25+L26</f>
        <v>0</v>
      </c>
      <c r="M24" s="27">
        <f>+M25+M26</f>
        <v>50</v>
      </c>
      <c r="N24" s="27"/>
      <c r="O24" s="27">
        <f>+O25+O26</f>
        <v>5</v>
      </c>
      <c r="P24" s="28">
        <f>+P25+P26</f>
        <v>55</v>
      </c>
      <c r="Q24" s="18"/>
    </row>
    <row r="25" spans="1:17" ht="12.75" customHeight="1">
      <c r="A25" s="23" t="s">
        <v>20</v>
      </c>
      <c r="B25" s="29"/>
      <c r="C25" s="29">
        <v>50</v>
      </c>
      <c r="D25" s="29"/>
      <c r="E25" s="30">
        <v>5</v>
      </c>
      <c r="F25" s="24">
        <f>SUM(B25:E25)</f>
        <v>55</v>
      </c>
      <c r="G25" s="29"/>
      <c r="H25" s="29"/>
      <c r="I25" s="29"/>
      <c r="J25" s="29"/>
      <c r="K25" s="24">
        <f>SUM(G25:J25)</f>
        <v>0</v>
      </c>
      <c r="L25" s="25">
        <f>+B25-G25</f>
        <v>0</v>
      </c>
      <c r="M25" s="25">
        <f>+C25-H25</f>
        <v>50</v>
      </c>
      <c r="N25" s="25"/>
      <c r="O25" s="25">
        <f>+E25-J25</f>
        <v>5</v>
      </c>
      <c r="P25" s="26">
        <f>SUM(L25:O25)</f>
        <v>55</v>
      </c>
      <c r="Q25" s="18"/>
    </row>
    <row r="26" spans="1:17" ht="12.75" customHeight="1">
      <c r="A26" s="23" t="s">
        <v>21</v>
      </c>
      <c r="B26" s="29"/>
      <c r="C26" s="29"/>
      <c r="D26" s="29"/>
      <c r="E26" s="30"/>
      <c r="F26" s="24">
        <f>SUM(B26:E26)</f>
        <v>0</v>
      </c>
      <c r="G26" s="29"/>
      <c r="H26" s="29"/>
      <c r="I26" s="29"/>
      <c r="J26" s="29"/>
      <c r="K26" s="24">
        <f>SUM(G26:J26)</f>
        <v>0</v>
      </c>
      <c r="L26" s="25">
        <f>+B26-G26</f>
        <v>0</v>
      </c>
      <c r="M26" s="25">
        <f>+C26-H26</f>
        <v>0</v>
      </c>
      <c r="N26" s="25"/>
      <c r="O26" s="25">
        <f>+E26-J26</f>
        <v>0</v>
      </c>
      <c r="P26" s="26">
        <f>SUM(L26:O26)</f>
        <v>0</v>
      </c>
      <c r="Q26" s="18"/>
    </row>
    <row r="27" spans="1:17" ht="12.75" customHeight="1">
      <c r="A27" s="33"/>
      <c r="B27" s="25"/>
      <c r="C27" s="25"/>
      <c r="D27" s="25"/>
      <c r="E27" s="25"/>
      <c r="F27" s="24"/>
      <c r="G27" s="47"/>
      <c r="H27" s="47"/>
      <c r="I27" s="47"/>
      <c r="J27" s="47"/>
      <c r="K27" s="32"/>
      <c r="L27" s="25"/>
      <c r="M27" s="25"/>
      <c r="N27" s="25"/>
      <c r="O27" s="25"/>
      <c r="P27" s="26"/>
      <c r="Q27" s="18"/>
    </row>
    <row r="28" spans="1:17" ht="12.75" customHeight="1">
      <c r="A28" s="33" t="s">
        <v>161</v>
      </c>
      <c r="B28" s="17">
        <f t="shared" ref="B28:K28" si="12">+B29+B33</f>
        <v>198776</v>
      </c>
      <c r="C28" s="17">
        <f t="shared" si="12"/>
        <v>93760</v>
      </c>
      <c r="D28" s="17">
        <f t="shared" si="12"/>
        <v>0</v>
      </c>
      <c r="E28" s="17">
        <f t="shared" si="12"/>
        <v>0</v>
      </c>
      <c r="F28" s="17">
        <f t="shared" si="12"/>
        <v>292536</v>
      </c>
      <c r="G28" s="17">
        <f t="shared" si="12"/>
        <v>192606</v>
      </c>
      <c r="H28" s="17">
        <f t="shared" si="12"/>
        <v>93760</v>
      </c>
      <c r="I28" s="17">
        <f t="shared" si="12"/>
        <v>0</v>
      </c>
      <c r="J28" s="17">
        <f t="shared" si="12"/>
        <v>0</v>
      </c>
      <c r="K28" s="17">
        <f t="shared" si="12"/>
        <v>286366</v>
      </c>
      <c r="L28" s="17">
        <f>+L29+L33</f>
        <v>6170</v>
      </c>
      <c r="M28" s="17">
        <f>+M29+M33</f>
        <v>0</v>
      </c>
      <c r="N28" s="17"/>
      <c r="O28" s="17">
        <f>+O29+O33</f>
        <v>0</v>
      </c>
      <c r="P28" s="17">
        <f>+P29+P33</f>
        <v>6170</v>
      </c>
      <c r="Q28" s="18">
        <f>+K28/F28</f>
        <v>0.9789085787732108</v>
      </c>
    </row>
    <row r="29" spans="1:17" ht="12.75" customHeight="1">
      <c r="A29" s="41" t="s">
        <v>15</v>
      </c>
      <c r="B29" s="20">
        <f t="shared" ref="B29:K29" si="13">+B30+B31+B32</f>
        <v>198776</v>
      </c>
      <c r="C29" s="20">
        <f t="shared" si="13"/>
        <v>93760</v>
      </c>
      <c r="D29" s="20">
        <f t="shared" si="13"/>
        <v>0</v>
      </c>
      <c r="E29" s="20">
        <f t="shared" si="13"/>
        <v>0</v>
      </c>
      <c r="F29" s="20">
        <f t="shared" si="13"/>
        <v>292536</v>
      </c>
      <c r="G29" s="20">
        <f t="shared" si="13"/>
        <v>192606</v>
      </c>
      <c r="H29" s="20">
        <f t="shared" si="13"/>
        <v>93760</v>
      </c>
      <c r="I29" s="20">
        <f t="shared" si="13"/>
        <v>0</v>
      </c>
      <c r="J29" s="20">
        <f t="shared" si="13"/>
        <v>0</v>
      </c>
      <c r="K29" s="20">
        <f t="shared" si="13"/>
        <v>286366</v>
      </c>
      <c r="L29" s="20">
        <f>+L30+L31+L32</f>
        <v>6170</v>
      </c>
      <c r="M29" s="20">
        <f>+M30+M31+M32</f>
        <v>0</v>
      </c>
      <c r="N29" s="20"/>
      <c r="O29" s="20">
        <f>+O30+O31+O32</f>
        <v>0</v>
      </c>
      <c r="P29" s="21">
        <f>+P30+P31+P32</f>
        <v>6170</v>
      </c>
      <c r="Q29" s="18"/>
    </row>
    <row r="30" spans="1:17" ht="12.75" customHeight="1">
      <c r="A30" s="22" t="s">
        <v>16</v>
      </c>
      <c r="B30" s="29">
        <v>174415</v>
      </c>
      <c r="C30" s="29">
        <v>93760</v>
      </c>
      <c r="D30" s="29"/>
      <c r="E30" s="30"/>
      <c r="F30" s="24">
        <f>SUM(B30:E30)</f>
        <v>268175</v>
      </c>
      <c r="G30" s="29">
        <f>176152-G31</f>
        <v>173544</v>
      </c>
      <c r="H30" s="29">
        <v>93760</v>
      </c>
      <c r="I30" s="29"/>
      <c r="J30" s="29"/>
      <c r="K30" s="24">
        <f>SUM(G30:J30)</f>
        <v>267304</v>
      </c>
      <c r="L30" s="25">
        <f t="shared" ref="L30:M32" si="14">+B30-G30</f>
        <v>871</v>
      </c>
      <c r="M30" s="25">
        <f t="shared" si="14"/>
        <v>0</v>
      </c>
      <c r="N30" s="25"/>
      <c r="O30" s="25">
        <f>+E30-J30</f>
        <v>0</v>
      </c>
      <c r="P30" s="26">
        <f>SUM(L30:O30)</f>
        <v>871</v>
      </c>
      <c r="Q30" s="18"/>
    </row>
    <row r="31" spans="1:17" ht="12.75" customHeight="1">
      <c r="A31" s="22" t="s">
        <v>17</v>
      </c>
      <c r="B31" s="29">
        <v>7442</v>
      </c>
      <c r="C31" s="34"/>
      <c r="D31" s="34"/>
      <c r="E31" s="30"/>
      <c r="F31" s="24">
        <f>SUM(B31:E31)</f>
        <v>7442</v>
      </c>
      <c r="G31" s="29">
        <f>1648+960</f>
        <v>2608</v>
      </c>
      <c r="H31" s="34"/>
      <c r="I31" s="34"/>
      <c r="J31" s="34"/>
      <c r="K31" s="24">
        <f>SUM(G31:J31)</f>
        <v>2608</v>
      </c>
      <c r="L31" s="25">
        <f t="shared" si="14"/>
        <v>4834</v>
      </c>
      <c r="M31" s="25">
        <f t="shared" si="14"/>
        <v>0</v>
      </c>
      <c r="N31" s="25"/>
      <c r="O31" s="25">
        <f>+E31-J31</f>
        <v>0</v>
      </c>
      <c r="P31" s="26">
        <f>SUM(L31:O31)</f>
        <v>4834</v>
      </c>
      <c r="Q31" s="18"/>
    </row>
    <row r="32" spans="1:17" ht="12.75" customHeight="1">
      <c r="A32" s="22" t="s">
        <v>18</v>
      </c>
      <c r="B32" s="29">
        <v>16919</v>
      </c>
      <c r="C32" s="34"/>
      <c r="D32" s="34"/>
      <c r="E32" s="35"/>
      <c r="F32" s="24">
        <f>SUM(B32:E32)</f>
        <v>16919</v>
      </c>
      <c r="G32" s="29">
        <v>16454</v>
      </c>
      <c r="H32" s="34"/>
      <c r="I32" s="34"/>
      <c r="J32" s="34"/>
      <c r="K32" s="24">
        <f>SUM(G32:J32)</f>
        <v>16454</v>
      </c>
      <c r="L32" s="25">
        <f t="shared" si="14"/>
        <v>465</v>
      </c>
      <c r="M32" s="25">
        <f t="shared" si="14"/>
        <v>0</v>
      </c>
      <c r="N32" s="25"/>
      <c r="O32" s="25">
        <f>+E32-J32</f>
        <v>0</v>
      </c>
      <c r="P32" s="26">
        <f>SUM(L32:O32)</f>
        <v>465</v>
      </c>
      <c r="Q32" s="18"/>
    </row>
    <row r="33" spans="1:17" ht="12.75" customHeight="1">
      <c r="A33" s="22" t="s">
        <v>19</v>
      </c>
      <c r="B33" s="27">
        <f t="shared" ref="B33:K33" si="15">+B34+B35</f>
        <v>0</v>
      </c>
      <c r="C33" s="27">
        <f t="shared" si="15"/>
        <v>0</v>
      </c>
      <c r="D33" s="27">
        <f t="shared" si="15"/>
        <v>0</v>
      </c>
      <c r="E33" s="27">
        <f t="shared" si="15"/>
        <v>0</v>
      </c>
      <c r="F33" s="27">
        <f t="shared" si="15"/>
        <v>0</v>
      </c>
      <c r="G33" s="27">
        <f t="shared" si="15"/>
        <v>0</v>
      </c>
      <c r="H33" s="27">
        <f t="shared" si="15"/>
        <v>0</v>
      </c>
      <c r="I33" s="27">
        <f t="shared" si="15"/>
        <v>0</v>
      </c>
      <c r="J33" s="27">
        <f t="shared" si="15"/>
        <v>0</v>
      </c>
      <c r="K33" s="27">
        <f t="shared" si="15"/>
        <v>0</v>
      </c>
      <c r="L33" s="27">
        <f>+L34+L35</f>
        <v>0</v>
      </c>
      <c r="M33" s="27">
        <f>+M34+M35</f>
        <v>0</v>
      </c>
      <c r="N33" s="27"/>
      <c r="O33" s="27">
        <f>+O34+O35</f>
        <v>0</v>
      </c>
      <c r="P33" s="28">
        <f>+P34+P35</f>
        <v>0</v>
      </c>
      <c r="Q33" s="18"/>
    </row>
    <row r="34" spans="1:17" ht="12.75" customHeight="1">
      <c r="A34" s="23" t="s">
        <v>20</v>
      </c>
      <c r="B34" s="29"/>
      <c r="C34" s="29"/>
      <c r="D34" s="29"/>
      <c r="E34" s="30"/>
      <c r="F34" s="24">
        <f>SUM(B34:E34)</f>
        <v>0</v>
      </c>
      <c r="G34" s="29"/>
      <c r="H34" s="29"/>
      <c r="I34" s="29"/>
      <c r="J34" s="29"/>
      <c r="K34" s="24">
        <f>SUM(G34:J34)</f>
        <v>0</v>
      </c>
      <c r="L34" s="25">
        <f>+B34-G34</f>
        <v>0</v>
      </c>
      <c r="M34" s="25">
        <f>+C34-H34</f>
        <v>0</v>
      </c>
      <c r="N34" s="25"/>
      <c r="O34" s="25">
        <f>+E34-J34</f>
        <v>0</v>
      </c>
      <c r="P34" s="26">
        <f>SUM(L34:O34)</f>
        <v>0</v>
      </c>
      <c r="Q34" s="18"/>
    </row>
    <row r="35" spans="1:17" ht="12.75" customHeight="1">
      <c r="A35" s="23" t="s">
        <v>21</v>
      </c>
      <c r="B35" s="29"/>
      <c r="C35" s="29"/>
      <c r="D35" s="29"/>
      <c r="E35" s="30"/>
      <c r="F35" s="24">
        <f>SUM(B35:E35)</f>
        <v>0</v>
      </c>
      <c r="G35" s="29"/>
      <c r="H35" s="29"/>
      <c r="I35" s="29"/>
      <c r="J35" s="29"/>
      <c r="K35" s="24">
        <f>SUM(G35:J35)</f>
        <v>0</v>
      </c>
      <c r="L35" s="25">
        <f>+B35-G35</f>
        <v>0</v>
      </c>
      <c r="M35" s="25">
        <f>+C35-H35</f>
        <v>0</v>
      </c>
      <c r="N35" s="25"/>
      <c r="O35" s="25">
        <f>+E35-J35</f>
        <v>0</v>
      </c>
      <c r="P35" s="26">
        <f>SUM(L35:O35)</f>
        <v>0</v>
      </c>
      <c r="Q35" s="18"/>
    </row>
    <row r="36" spans="1:17" ht="12.75" customHeight="1">
      <c r="A36" s="33"/>
      <c r="B36" s="25"/>
      <c r="C36" s="25"/>
      <c r="D36" s="25"/>
      <c r="E36" s="25"/>
      <c r="F36" s="24"/>
      <c r="G36" s="47"/>
      <c r="H36" s="47"/>
      <c r="I36" s="47"/>
      <c r="J36" s="47"/>
      <c r="K36" s="32"/>
      <c r="L36" s="25"/>
      <c r="M36" s="25"/>
      <c r="N36" s="25"/>
      <c r="O36" s="25"/>
      <c r="P36" s="26"/>
      <c r="Q36" s="18"/>
    </row>
    <row r="37" spans="1:17" ht="12.75" customHeight="1">
      <c r="A37" s="33" t="s">
        <v>162</v>
      </c>
      <c r="B37" s="17">
        <f t="shared" ref="B37:K37" si="16">+B38+B42</f>
        <v>22449</v>
      </c>
      <c r="C37" s="17">
        <f t="shared" si="16"/>
        <v>14316</v>
      </c>
      <c r="D37" s="17">
        <f t="shared" si="16"/>
        <v>0</v>
      </c>
      <c r="E37" s="17">
        <f t="shared" si="16"/>
        <v>514</v>
      </c>
      <c r="F37" s="17">
        <f t="shared" si="16"/>
        <v>37279</v>
      </c>
      <c r="G37" s="17">
        <f t="shared" si="16"/>
        <v>22284</v>
      </c>
      <c r="H37" s="17">
        <f t="shared" si="16"/>
        <v>14279</v>
      </c>
      <c r="I37" s="17">
        <f t="shared" si="16"/>
        <v>0</v>
      </c>
      <c r="J37" s="17">
        <f t="shared" si="16"/>
        <v>0</v>
      </c>
      <c r="K37" s="17">
        <f t="shared" si="16"/>
        <v>36563</v>
      </c>
      <c r="L37" s="17">
        <f>+L38+L42</f>
        <v>165</v>
      </c>
      <c r="M37" s="17">
        <f>+M38+M42</f>
        <v>37</v>
      </c>
      <c r="N37" s="17"/>
      <c r="O37" s="17">
        <f>+O38+O42</f>
        <v>514</v>
      </c>
      <c r="P37" s="17">
        <f>+P38+P42</f>
        <v>716</v>
      </c>
      <c r="Q37" s="18">
        <f>+K37/F37</f>
        <v>0.98079347621985569</v>
      </c>
    </row>
    <row r="38" spans="1:17" ht="12.75" customHeight="1">
      <c r="A38" s="41" t="s">
        <v>15</v>
      </c>
      <c r="B38" s="20">
        <f t="shared" ref="B38:K38" si="17">+B39+B40+B41</f>
        <v>22449</v>
      </c>
      <c r="C38" s="20">
        <f t="shared" si="17"/>
        <v>14290</v>
      </c>
      <c r="D38" s="20">
        <f t="shared" si="17"/>
        <v>0</v>
      </c>
      <c r="E38" s="20">
        <f t="shared" si="17"/>
        <v>0</v>
      </c>
      <c r="F38" s="20">
        <f t="shared" si="17"/>
        <v>36739</v>
      </c>
      <c r="G38" s="20">
        <f t="shared" si="17"/>
        <v>22284</v>
      </c>
      <c r="H38" s="20">
        <f t="shared" si="17"/>
        <v>14279</v>
      </c>
      <c r="I38" s="20">
        <f t="shared" si="17"/>
        <v>0</v>
      </c>
      <c r="J38" s="20">
        <f t="shared" si="17"/>
        <v>0</v>
      </c>
      <c r="K38" s="20">
        <f t="shared" si="17"/>
        <v>36563</v>
      </c>
      <c r="L38" s="20">
        <f>+L39+L40+L41</f>
        <v>165</v>
      </c>
      <c r="M38" s="20">
        <f>+M39+M40+M41</f>
        <v>11</v>
      </c>
      <c r="N38" s="20"/>
      <c r="O38" s="20">
        <f>+O39+O40+O41</f>
        <v>0</v>
      </c>
      <c r="P38" s="21">
        <f>+P39+P40+P41</f>
        <v>176</v>
      </c>
      <c r="Q38" s="18"/>
    </row>
    <row r="39" spans="1:17" ht="12.75" customHeight="1">
      <c r="A39" s="22" t="s">
        <v>16</v>
      </c>
      <c r="B39" s="29">
        <v>18900</v>
      </c>
      <c r="C39" s="29">
        <v>14290</v>
      </c>
      <c r="D39" s="29"/>
      <c r="E39" s="30"/>
      <c r="F39" s="24">
        <f>SUM(B39:E39)</f>
        <v>33190</v>
      </c>
      <c r="G39" s="29">
        <f>20648-G40</f>
        <v>18900</v>
      </c>
      <c r="H39" s="29">
        <v>14279</v>
      </c>
      <c r="I39" s="29"/>
      <c r="J39" s="29"/>
      <c r="K39" s="24">
        <f>SUM(G39:J39)</f>
        <v>33179</v>
      </c>
      <c r="L39" s="25">
        <f t="shared" ref="L39:M41" si="18">+B39-G39</f>
        <v>0</v>
      </c>
      <c r="M39" s="25">
        <f t="shared" si="18"/>
        <v>11</v>
      </c>
      <c r="N39" s="25"/>
      <c r="O39" s="25">
        <f>+E39-J39</f>
        <v>0</v>
      </c>
      <c r="P39" s="26">
        <f>SUM(L39:O39)</f>
        <v>11</v>
      </c>
      <c r="Q39" s="18"/>
    </row>
    <row r="40" spans="1:17" ht="12.75" customHeight="1">
      <c r="A40" s="22" t="s">
        <v>17</v>
      </c>
      <c r="B40" s="29">
        <v>1756</v>
      </c>
      <c r="C40" s="34"/>
      <c r="D40" s="34"/>
      <c r="E40" s="30"/>
      <c r="F40" s="24">
        <f>SUM(B40:E40)</f>
        <v>1756</v>
      </c>
      <c r="G40" s="29">
        <f>426+1322</f>
        <v>1748</v>
      </c>
      <c r="H40" s="34"/>
      <c r="I40" s="34"/>
      <c r="J40" s="34"/>
      <c r="K40" s="24">
        <f>SUM(G40:J40)</f>
        <v>1748</v>
      </c>
      <c r="L40" s="25">
        <f t="shared" si="18"/>
        <v>8</v>
      </c>
      <c r="M40" s="25">
        <f t="shared" si="18"/>
        <v>0</v>
      </c>
      <c r="N40" s="25"/>
      <c r="O40" s="25">
        <f>+E40-J40</f>
        <v>0</v>
      </c>
      <c r="P40" s="26">
        <f>SUM(L40:O40)</f>
        <v>8</v>
      </c>
      <c r="Q40" s="18"/>
    </row>
    <row r="41" spans="1:17" ht="12.75" customHeight="1">
      <c r="A41" s="22" t="s">
        <v>18</v>
      </c>
      <c r="B41" s="29">
        <v>1793</v>
      </c>
      <c r="C41" s="34"/>
      <c r="D41" s="34"/>
      <c r="E41" s="35"/>
      <c r="F41" s="24">
        <f>SUM(B41:E41)</f>
        <v>1793</v>
      </c>
      <c r="G41" s="29">
        <v>1636</v>
      </c>
      <c r="H41" s="34"/>
      <c r="I41" s="34"/>
      <c r="J41" s="34"/>
      <c r="K41" s="24">
        <f>SUM(G41:J41)</f>
        <v>1636</v>
      </c>
      <c r="L41" s="25">
        <f t="shared" si="18"/>
        <v>157</v>
      </c>
      <c r="M41" s="25">
        <f t="shared" si="18"/>
        <v>0</v>
      </c>
      <c r="N41" s="25"/>
      <c r="O41" s="25">
        <f>+E41-J41</f>
        <v>0</v>
      </c>
      <c r="P41" s="26">
        <f>SUM(L41:O41)</f>
        <v>157</v>
      </c>
      <c r="Q41" s="18"/>
    </row>
    <row r="42" spans="1:17" ht="12.75" customHeight="1">
      <c r="A42" s="22" t="s">
        <v>19</v>
      </c>
      <c r="B42" s="27">
        <f t="shared" ref="B42:K42" si="19">+B43+B44</f>
        <v>0</v>
      </c>
      <c r="C42" s="27">
        <f t="shared" si="19"/>
        <v>26</v>
      </c>
      <c r="D42" s="27">
        <f t="shared" si="19"/>
        <v>0</v>
      </c>
      <c r="E42" s="27">
        <f t="shared" si="19"/>
        <v>514</v>
      </c>
      <c r="F42" s="27">
        <f t="shared" si="19"/>
        <v>540</v>
      </c>
      <c r="G42" s="27">
        <f t="shared" si="19"/>
        <v>0</v>
      </c>
      <c r="H42" s="27">
        <f t="shared" si="19"/>
        <v>0</v>
      </c>
      <c r="I42" s="27">
        <f t="shared" si="19"/>
        <v>0</v>
      </c>
      <c r="J42" s="27">
        <f t="shared" si="19"/>
        <v>0</v>
      </c>
      <c r="K42" s="27">
        <f t="shared" si="19"/>
        <v>0</v>
      </c>
      <c r="L42" s="27">
        <f>+L43+L44</f>
        <v>0</v>
      </c>
      <c r="M42" s="27">
        <f>+M43+M44</f>
        <v>26</v>
      </c>
      <c r="N42" s="27"/>
      <c r="O42" s="27">
        <f>+O43+O44</f>
        <v>514</v>
      </c>
      <c r="P42" s="28">
        <f>+P43+P44</f>
        <v>540</v>
      </c>
      <c r="Q42" s="18"/>
    </row>
    <row r="43" spans="1:17" ht="12.75" customHeight="1">
      <c r="A43" s="23" t="s">
        <v>20</v>
      </c>
      <c r="B43" s="29"/>
      <c r="C43" s="29">
        <v>26</v>
      </c>
      <c r="D43" s="29"/>
      <c r="E43" s="30">
        <v>514</v>
      </c>
      <c r="F43" s="24">
        <f>SUM(B43:E43)</f>
        <v>540</v>
      </c>
      <c r="G43" s="29"/>
      <c r="H43" s="29"/>
      <c r="I43" s="29"/>
      <c r="J43" s="29"/>
      <c r="K43" s="24">
        <f>SUM(G43:J43)</f>
        <v>0</v>
      </c>
      <c r="L43" s="25">
        <f>+B43-G43</f>
        <v>0</v>
      </c>
      <c r="M43" s="25">
        <f>+C43-H43</f>
        <v>26</v>
      </c>
      <c r="N43" s="25"/>
      <c r="O43" s="25">
        <f>+E43-J43</f>
        <v>514</v>
      </c>
      <c r="P43" s="26">
        <f>SUM(L43:O43)</f>
        <v>540</v>
      </c>
      <c r="Q43" s="18"/>
    </row>
    <row r="44" spans="1:17" ht="12.75" customHeight="1">
      <c r="A44" s="23" t="s">
        <v>21</v>
      </c>
      <c r="B44" s="29"/>
      <c r="C44" s="29"/>
      <c r="D44" s="29"/>
      <c r="E44" s="30"/>
      <c r="F44" s="24">
        <f>SUM(B44:E44)</f>
        <v>0</v>
      </c>
      <c r="G44" s="29"/>
      <c r="H44" s="29"/>
      <c r="I44" s="29"/>
      <c r="J44" s="29"/>
      <c r="K44" s="24">
        <f>SUM(G44:J44)</f>
        <v>0</v>
      </c>
      <c r="L44" s="25">
        <f>+B44-G44</f>
        <v>0</v>
      </c>
      <c r="M44" s="25">
        <f>+C44-H44</f>
        <v>0</v>
      </c>
      <c r="N44" s="25"/>
      <c r="O44" s="25">
        <f>+E44-J44</f>
        <v>0</v>
      </c>
      <c r="P44" s="26">
        <f>SUM(L44:O44)</f>
        <v>0</v>
      </c>
      <c r="Q44" s="18"/>
    </row>
    <row r="45" spans="1:17" ht="12.75" customHeight="1">
      <c r="A45" s="33"/>
      <c r="B45" s="25"/>
      <c r="C45" s="25"/>
      <c r="D45" s="25"/>
      <c r="E45" s="25"/>
      <c r="F45" s="24"/>
      <c r="G45" s="47"/>
      <c r="H45" s="47"/>
      <c r="I45" s="47"/>
      <c r="J45" s="47"/>
      <c r="K45" s="32"/>
      <c r="L45" s="25"/>
      <c r="M45" s="25"/>
      <c r="N45" s="25"/>
      <c r="O45" s="25"/>
      <c r="P45" s="26"/>
      <c r="Q45" s="18"/>
    </row>
    <row r="46" spans="1:17" ht="12.75" customHeight="1">
      <c r="A46" s="33" t="s">
        <v>377</v>
      </c>
      <c r="B46" s="17">
        <f t="shared" ref="B46:F46" si="20">+B47+B51</f>
        <v>91141</v>
      </c>
      <c r="C46" s="17">
        <f t="shared" si="20"/>
        <v>9493</v>
      </c>
      <c r="D46" s="17">
        <f t="shared" si="20"/>
        <v>0</v>
      </c>
      <c r="E46" s="17">
        <f t="shared" si="20"/>
        <v>0</v>
      </c>
      <c r="F46" s="17">
        <f t="shared" si="20"/>
        <v>100634</v>
      </c>
      <c r="G46" s="37">
        <f>+G47+G51</f>
        <v>85683</v>
      </c>
      <c r="H46" s="37">
        <f>+H47+H51</f>
        <v>9493</v>
      </c>
      <c r="I46" s="37"/>
      <c r="J46" s="37">
        <f>+J47+J51</f>
        <v>0</v>
      </c>
      <c r="K46" s="37">
        <f t="shared" ref="K46" si="21">+K47+K51</f>
        <v>95176</v>
      </c>
      <c r="L46" s="17">
        <f>+L47+L51</f>
        <v>5458</v>
      </c>
      <c r="M46" s="17">
        <f>+M47+M51</f>
        <v>0</v>
      </c>
      <c r="N46" s="17"/>
      <c r="O46" s="17">
        <f>+O47+O51</f>
        <v>0</v>
      </c>
      <c r="P46" s="17">
        <f>+P47+P51</f>
        <v>5458</v>
      </c>
      <c r="Q46" s="18">
        <f>+K46/F46</f>
        <v>0.94576385714569633</v>
      </c>
    </row>
    <row r="47" spans="1:17" ht="12.75" customHeight="1">
      <c r="A47" s="41" t="s">
        <v>15</v>
      </c>
      <c r="B47" s="20">
        <f t="shared" ref="B47:J47" si="22">+B48+B49+B50</f>
        <v>91141</v>
      </c>
      <c r="C47" s="20">
        <f t="shared" si="22"/>
        <v>9493</v>
      </c>
      <c r="D47" s="20">
        <f t="shared" si="22"/>
        <v>0</v>
      </c>
      <c r="E47" s="20">
        <f t="shared" si="22"/>
        <v>0</v>
      </c>
      <c r="F47" s="20">
        <f t="shared" si="22"/>
        <v>100634</v>
      </c>
      <c r="G47" s="38">
        <f t="shared" si="22"/>
        <v>85683</v>
      </c>
      <c r="H47" s="38">
        <f t="shared" si="22"/>
        <v>9493</v>
      </c>
      <c r="I47" s="38"/>
      <c r="J47" s="38">
        <f t="shared" si="22"/>
        <v>0</v>
      </c>
      <c r="K47" s="38">
        <f>+K48+K49+K50</f>
        <v>95176</v>
      </c>
      <c r="L47" s="20">
        <f>+L48+L49+L50</f>
        <v>5458</v>
      </c>
      <c r="M47" s="20">
        <f>+M48+M49+M50</f>
        <v>0</v>
      </c>
      <c r="N47" s="20"/>
      <c r="O47" s="20">
        <f>+O48+O49+O50</f>
        <v>0</v>
      </c>
      <c r="P47" s="21">
        <f>+P48+P49+P50</f>
        <v>5458</v>
      </c>
      <c r="Q47" s="18"/>
    </row>
    <row r="48" spans="1:17" ht="12.75" customHeight="1">
      <c r="A48" s="22" t="s">
        <v>16</v>
      </c>
      <c r="B48" s="29">
        <v>68865</v>
      </c>
      <c r="C48" s="29">
        <v>9493</v>
      </c>
      <c r="D48" s="29"/>
      <c r="E48" s="30"/>
      <c r="F48" s="24">
        <f>SUM(B48:E48)</f>
        <v>78358</v>
      </c>
      <c r="G48" s="31">
        <f>66582+2271</f>
        <v>68853</v>
      </c>
      <c r="H48" s="31">
        <f>11764-2271</f>
        <v>9493</v>
      </c>
      <c r="I48" s="31"/>
      <c r="J48" s="31"/>
      <c r="K48" s="32">
        <f>SUM(G48:J48)</f>
        <v>78346</v>
      </c>
      <c r="L48" s="25">
        <f t="shared" ref="L48:M50" si="23">+B48-G48</f>
        <v>12</v>
      </c>
      <c r="M48" s="25">
        <f t="shared" si="23"/>
        <v>0</v>
      </c>
      <c r="N48" s="25"/>
      <c r="O48" s="25">
        <f>+E48-J48</f>
        <v>0</v>
      </c>
      <c r="P48" s="26">
        <f>SUM(L48:O48)</f>
        <v>12</v>
      </c>
      <c r="Q48" s="18"/>
    </row>
    <row r="49" spans="1:17" ht="12.75" customHeight="1">
      <c r="A49" s="22" t="s">
        <v>17</v>
      </c>
      <c r="B49" s="29">
        <v>15976</v>
      </c>
      <c r="C49" s="34"/>
      <c r="D49" s="34"/>
      <c r="E49" s="30"/>
      <c r="F49" s="24">
        <f>SUM(B49:E49)</f>
        <v>15976</v>
      </c>
      <c r="G49" s="31">
        <f>4704+5826</f>
        <v>10530</v>
      </c>
      <c r="H49" s="39"/>
      <c r="I49" s="39"/>
      <c r="J49" s="39"/>
      <c r="K49" s="32">
        <f>SUM(G49:J49)</f>
        <v>10530</v>
      </c>
      <c r="L49" s="25">
        <f t="shared" si="23"/>
        <v>5446</v>
      </c>
      <c r="M49" s="25">
        <f t="shared" si="23"/>
        <v>0</v>
      </c>
      <c r="N49" s="25"/>
      <c r="O49" s="25">
        <f>+E49-J49</f>
        <v>0</v>
      </c>
      <c r="P49" s="26">
        <f>SUM(L49:O49)</f>
        <v>5446</v>
      </c>
      <c r="Q49" s="18"/>
    </row>
    <row r="50" spans="1:17" ht="12.75" customHeight="1">
      <c r="A50" s="22" t="s">
        <v>18</v>
      </c>
      <c r="B50" s="29">
        <v>6300</v>
      </c>
      <c r="C50" s="34"/>
      <c r="D50" s="34"/>
      <c r="E50" s="35"/>
      <c r="F50" s="24">
        <f>SUM(B50:E50)</f>
        <v>6300</v>
      </c>
      <c r="G50" s="31">
        <f>3085+3215</f>
        <v>6300</v>
      </c>
      <c r="H50" s="39"/>
      <c r="I50" s="39"/>
      <c r="J50" s="39"/>
      <c r="K50" s="32">
        <f>SUM(G50:J50)</f>
        <v>6300</v>
      </c>
      <c r="L50" s="25">
        <f t="shared" si="23"/>
        <v>0</v>
      </c>
      <c r="M50" s="25">
        <f t="shared" si="23"/>
        <v>0</v>
      </c>
      <c r="N50" s="25"/>
      <c r="O50" s="25">
        <f>+E50-J50</f>
        <v>0</v>
      </c>
      <c r="P50" s="26">
        <f>SUM(L50:O50)</f>
        <v>0</v>
      </c>
      <c r="Q50" s="18"/>
    </row>
    <row r="51" spans="1:17" ht="12.75" customHeight="1">
      <c r="A51" s="22" t="s">
        <v>19</v>
      </c>
      <c r="B51" s="27">
        <f t="shared" ref="B51:F51" si="24">+B52+B53</f>
        <v>0</v>
      </c>
      <c r="C51" s="27">
        <f t="shared" si="24"/>
        <v>0</v>
      </c>
      <c r="D51" s="27">
        <f t="shared" si="24"/>
        <v>0</v>
      </c>
      <c r="E51" s="27">
        <f t="shared" si="24"/>
        <v>0</v>
      </c>
      <c r="F51" s="27">
        <f t="shared" si="24"/>
        <v>0</v>
      </c>
      <c r="G51" s="40">
        <f>+G52+G53</f>
        <v>0</v>
      </c>
      <c r="H51" s="40">
        <f>+H52+H53</f>
        <v>0</v>
      </c>
      <c r="I51" s="40"/>
      <c r="J51" s="40">
        <f>+J52+J53</f>
        <v>0</v>
      </c>
      <c r="K51" s="40">
        <f t="shared" ref="K51" si="25">+K52+K53</f>
        <v>0</v>
      </c>
      <c r="L51" s="27">
        <f>+L52+L53</f>
        <v>0</v>
      </c>
      <c r="M51" s="27">
        <f>+M52+M53</f>
        <v>0</v>
      </c>
      <c r="N51" s="27"/>
      <c r="O51" s="27">
        <f>+O52+O53</f>
        <v>0</v>
      </c>
      <c r="P51" s="28">
        <f>+P52+P53</f>
        <v>0</v>
      </c>
      <c r="Q51" s="18"/>
    </row>
    <row r="52" spans="1:17" ht="12.75" customHeight="1">
      <c r="A52" s="23" t="s">
        <v>20</v>
      </c>
      <c r="B52" s="29"/>
      <c r="C52" s="29"/>
      <c r="D52" s="29"/>
      <c r="E52" s="30"/>
      <c r="F52" s="24">
        <f>SUM(B52:E52)</f>
        <v>0</v>
      </c>
      <c r="G52" s="31"/>
      <c r="H52" s="31"/>
      <c r="I52" s="31"/>
      <c r="J52" s="31"/>
      <c r="K52" s="32">
        <f>SUM(G52:J52)</f>
        <v>0</v>
      </c>
      <c r="L52" s="25">
        <f>+B52-G52</f>
        <v>0</v>
      </c>
      <c r="M52" s="25">
        <f>+C52-H52</f>
        <v>0</v>
      </c>
      <c r="N52" s="25"/>
      <c r="O52" s="25">
        <f>+E52-J52</f>
        <v>0</v>
      </c>
      <c r="P52" s="26">
        <f>SUM(L52:O52)</f>
        <v>0</v>
      </c>
      <c r="Q52" s="18"/>
    </row>
    <row r="53" spans="1:17" ht="12.75" customHeight="1">
      <c r="A53" s="23" t="s">
        <v>21</v>
      </c>
      <c r="B53" s="29"/>
      <c r="C53" s="29"/>
      <c r="D53" s="29"/>
      <c r="E53" s="30"/>
      <c r="F53" s="24">
        <f>SUM(B53:E53)</f>
        <v>0</v>
      </c>
      <c r="G53" s="31"/>
      <c r="H53" s="31"/>
      <c r="I53" s="31"/>
      <c r="J53" s="31"/>
      <c r="K53" s="32">
        <f>SUM(G53:J53)</f>
        <v>0</v>
      </c>
      <c r="L53" s="25">
        <f>+B53-G53</f>
        <v>0</v>
      </c>
      <c r="M53" s="25">
        <f>+C53-H53</f>
        <v>0</v>
      </c>
      <c r="N53" s="25"/>
      <c r="O53" s="25">
        <f>+E53-J53</f>
        <v>0</v>
      </c>
      <c r="P53" s="26">
        <f>SUM(L53:O53)</f>
        <v>0</v>
      </c>
      <c r="Q53" s="18"/>
    </row>
    <row r="54" spans="1:17" ht="12.75" customHeight="1">
      <c r="A54" s="217"/>
      <c r="B54" s="44"/>
      <c r="C54" s="44"/>
      <c r="D54" s="44"/>
      <c r="E54" s="44"/>
      <c r="F54" s="77"/>
      <c r="G54" s="84"/>
      <c r="H54" s="84"/>
      <c r="I54" s="84"/>
      <c r="J54" s="84"/>
      <c r="K54" s="82"/>
      <c r="L54" s="44"/>
      <c r="M54" s="44"/>
      <c r="N54" s="44"/>
      <c r="O54" s="44"/>
      <c r="P54" s="75"/>
      <c r="Q54" s="76"/>
    </row>
    <row r="55" spans="1:17" ht="12.75" customHeight="1">
      <c r="A55" s="33" t="s">
        <v>163</v>
      </c>
      <c r="B55" s="17">
        <f t="shared" ref="B55:K55" si="26">+B56+B60</f>
        <v>81248</v>
      </c>
      <c r="C55" s="17">
        <f t="shared" si="26"/>
        <v>34546</v>
      </c>
      <c r="D55" s="17">
        <f t="shared" si="26"/>
        <v>0</v>
      </c>
      <c r="E55" s="17">
        <f t="shared" si="26"/>
        <v>0</v>
      </c>
      <c r="F55" s="17">
        <f t="shared" si="26"/>
        <v>115794</v>
      </c>
      <c r="G55" s="17">
        <f t="shared" si="26"/>
        <v>81186</v>
      </c>
      <c r="H55" s="17">
        <f t="shared" si="26"/>
        <v>34546</v>
      </c>
      <c r="I55" s="17">
        <f t="shared" si="26"/>
        <v>0</v>
      </c>
      <c r="J55" s="17">
        <f t="shared" si="26"/>
        <v>0</v>
      </c>
      <c r="K55" s="17">
        <f t="shared" si="26"/>
        <v>115732</v>
      </c>
      <c r="L55" s="17">
        <f>+L56+L60</f>
        <v>62</v>
      </c>
      <c r="M55" s="17">
        <f>+M56+M60</f>
        <v>0</v>
      </c>
      <c r="N55" s="17"/>
      <c r="O55" s="17">
        <f>+O56+O60</f>
        <v>0</v>
      </c>
      <c r="P55" s="17">
        <f>+P56+P60</f>
        <v>62</v>
      </c>
      <c r="Q55" s="18">
        <f>+K55/F55</f>
        <v>0.99946456638513226</v>
      </c>
    </row>
    <row r="56" spans="1:17" ht="12.75" customHeight="1">
      <c r="A56" s="41" t="s">
        <v>15</v>
      </c>
      <c r="B56" s="20">
        <f t="shared" ref="B56:K56" si="27">+B57+B58+B59</f>
        <v>81248</v>
      </c>
      <c r="C56" s="20">
        <f t="shared" si="27"/>
        <v>34546</v>
      </c>
      <c r="D56" s="20">
        <f t="shared" si="27"/>
        <v>0</v>
      </c>
      <c r="E56" s="20">
        <f t="shared" si="27"/>
        <v>0</v>
      </c>
      <c r="F56" s="20">
        <f t="shared" si="27"/>
        <v>115794</v>
      </c>
      <c r="G56" s="20">
        <f t="shared" si="27"/>
        <v>81186</v>
      </c>
      <c r="H56" s="20">
        <f t="shared" si="27"/>
        <v>34546</v>
      </c>
      <c r="I56" s="20">
        <f t="shared" si="27"/>
        <v>0</v>
      </c>
      <c r="J56" s="20">
        <f t="shared" si="27"/>
        <v>0</v>
      </c>
      <c r="K56" s="20">
        <f t="shared" si="27"/>
        <v>115732</v>
      </c>
      <c r="L56" s="20">
        <f>+L57+L58+L59</f>
        <v>62</v>
      </c>
      <c r="M56" s="20">
        <f>+M57+M58+M59</f>
        <v>0</v>
      </c>
      <c r="N56" s="20"/>
      <c r="O56" s="20">
        <f>+O57+O58+O59</f>
        <v>0</v>
      </c>
      <c r="P56" s="21">
        <f>+P57+P58+P59</f>
        <v>62</v>
      </c>
      <c r="Q56" s="18"/>
    </row>
    <row r="57" spans="1:17" ht="12.75" customHeight="1">
      <c r="A57" s="22" t="s">
        <v>16</v>
      </c>
      <c r="B57" s="29">
        <v>68587</v>
      </c>
      <c r="C57" s="29">
        <v>34546</v>
      </c>
      <c r="D57" s="29"/>
      <c r="E57" s="30"/>
      <c r="F57" s="24">
        <f>SUM(B57:E57)</f>
        <v>103133</v>
      </c>
      <c r="G57" s="29">
        <f>58691+9896</f>
        <v>68587</v>
      </c>
      <c r="H57" s="29">
        <f>50463-15917</f>
        <v>34546</v>
      </c>
      <c r="I57" s="29"/>
      <c r="J57" s="29"/>
      <c r="K57" s="24">
        <f>SUM(G57:J57)</f>
        <v>103133</v>
      </c>
      <c r="L57" s="25">
        <f t="shared" ref="L57:M59" si="28">+B57-G57</f>
        <v>0</v>
      </c>
      <c r="M57" s="25">
        <f t="shared" si="28"/>
        <v>0</v>
      </c>
      <c r="N57" s="25"/>
      <c r="O57" s="25">
        <f>+E57-J57</f>
        <v>0</v>
      </c>
      <c r="P57" s="26">
        <f>SUM(L57:O57)</f>
        <v>0</v>
      </c>
      <c r="Q57" s="18"/>
    </row>
    <row r="58" spans="1:17" ht="12.75" customHeight="1">
      <c r="A58" s="22" t="s">
        <v>17</v>
      </c>
      <c r="B58" s="29">
        <v>6021</v>
      </c>
      <c r="C58" s="29"/>
      <c r="D58" s="29"/>
      <c r="E58" s="30"/>
      <c r="F58" s="24">
        <f>SUM(B58:E58)</f>
        <v>6021</v>
      </c>
      <c r="G58" s="24">
        <v>6021</v>
      </c>
      <c r="H58" s="34"/>
      <c r="I58" s="34"/>
      <c r="J58" s="34"/>
      <c r="K58" s="24">
        <f>SUM(G58:J58)</f>
        <v>6021</v>
      </c>
      <c r="L58" s="25">
        <f t="shared" si="28"/>
        <v>0</v>
      </c>
      <c r="M58" s="25">
        <f t="shared" si="28"/>
        <v>0</v>
      </c>
      <c r="N58" s="25"/>
      <c r="O58" s="25">
        <f>+E58-J58</f>
        <v>0</v>
      </c>
      <c r="P58" s="26">
        <f>SUM(L58:O58)</f>
        <v>0</v>
      </c>
      <c r="Q58" s="18"/>
    </row>
    <row r="59" spans="1:17" ht="12.75" customHeight="1">
      <c r="A59" s="22" t="s">
        <v>18</v>
      </c>
      <c r="B59" s="29">
        <v>6640</v>
      </c>
      <c r="C59" s="34"/>
      <c r="D59" s="34"/>
      <c r="E59" s="35"/>
      <c r="F59" s="24">
        <f>SUM(B59:E59)</f>
        <v>6640</v>
      </c>
      <c r="G59" s="29">
        <v>6578</v>
      </c>
      <c r="H59" s="34"/>
      <c r="I59" s="34"/>
      <c r="J59" s="34"/>
      <c r="K59" s="24">
        <f>SUM(G59:J59)</f>
        <v>6578</v>
      </c>
      <c r="L59" s="25">
        <f t="shared" si="28"/>
        <v>62</v>
      </c>
      <c r="M59" s="25">
        <f t="shared" si="28"/>
        <v>0</v>
      </c>
      <c r="N59" s="25"/>
      <c r="O59" s="25">
        <f>+E59-J59</f>
        <v>0</v>
      </c>
      <c r="P59" s="26">
        <f>SUM(L59:O59)</f>
        <v>62</v>
      </c>
      <c r="Q59" s="18"/>
    </row>
    <row r="60" spans="1:17" ht="12.75" customHeight="1">
      <c r="A60" s="22" t="s">
        <v>19</v>
      </c>
      <c r="B60" s="27">
        <f t="shared" ref="B60:K60" si="29">+B61+B62</f>
        <v>0</v>
      </c>
      <c r="C60" s="27">
        <f t="shared" si="29"/>
        <v>0</v>
      </c>
      <c r="D60" s="27">
        <f t="shared" si="29"/>
        <v>0</v>
      </c>
      <c r="E60" s="27">
        <f t="shared" si="29"/>
        <v>0</v>
      </c>
      <c r="F60" s="27">
        <f t="shared" si="29"/>
        <v>0</v>
      </c>
      <c r="G60" s="27">
        <f t="shared" si="29"/>
        <v>0</v>
      </c>
      <c r="H60" s="27">
        <f t="shared" si="29"/>
        <v>0</v>
      </c>
      <c r="I60" s="27">
        <f t="shared" si="29"/>
        <v>0</v>
      </c>
      <c r="J60" s="27">
        <f t="shared" si="29"/>
        <v>0</v>
      </c>
      <c r="K60" s="27">
        <f t="shared" si="29"/>
        <v>0</v>
      </c>
      <c r="L60" s="27">
        <f>+L61+L62</f>
        <v>0</v>
      </c>
      <c r="M60" s="27">
        <f>+M61+M62</f>
        <v>0</v>
      </c>
      <c r="N60" s="27"/>
      <c r="O60" s="27">
        <f>+O61+O62</f>
        <v>0</v>
      </c>
      <c r="P60" s="28">
        <f>+P61+P62</f>
        <v>0</v>
      </c>
      <c r="Q60" s="18"/>
    </row>
    <row r="61" spans="1:17" ht="12.75" customHeight="1">
      <c r="A61" s="23" t="s">
        <v>20</v>
      </c>
      <c r="B61" s="29"/>
      <c r="C61" s="29"/>
      <c r="D61" s="29"/>
      <c r="E61" s="30"/>
      <c r="F61" s="24">
        <f>SUM(B61:E61)</f>
        <v>0</v>
      </c>
      <c r="G61" s="29"/>
      <c r="H61" s="29"/>
      <c r="I61" s="29"/>
      <c r="J61" s="29"/>
      <c r="K61" s="24">
        <f>SUM(G61:J61)</f>
        <v>0</v>
      </c>
      <c r="L61" s="25">
        <f>+B61-G61</f>
        <v>0</v>
      </c>
      <c r="M61" s="25">
        <f>+C61-H61</f>
        <v>0</v>
      </c>
      <c r="N61" s="25"/>
      <c r="O61" s="25">
        <f>+E61-J61</f>
        <v>0</v>
      </c>
      <c r="P61" s="26">
        <f>SUM(L61:O61)</f>
        <v>0</v>
      </c>
      <c r="Q61" s="18"/>
    </row>
    <row r="62" spans="1:17" ht="12.75" customHeight="1">
      <c r="A62" s="23" t="s">
        <v>21</v>
      </c>
      <c r="B62" s="29"/>
      <c r="C62" s="29"/>
      <c r="D62" s="29"/>
      <c r="E62" s="30"/>
      <c r="F62" s="24">
        <f>SUM(B62:E62)</f>
        <v>0</v>
      </c>
      <c r="G62" s="29"/>
      <c r="H62" s="29"/>
      <c r="I62" s="29"/>
      <c r="J62" s="29"/>
      <c r="K62" s="24">
        <f>SUM(G62:J62)</f>
        <v>0</v>
      </c>
      <c r="L62" s="25">
        <f>+B62-G62</f>
        <v>0</v>
      </c>
      <c r="M62" s="25">
        <f>+C62-H62</f>
        <v>0</v>
      </c>
      <c r="N62" s="25"/>
      <c r="O62" s="25">
        <f>+E62-J62</f>
        <v>0</v>
      </c>
      <c r="P62" s="26">
        <f>SUM(L62:O62)</f>
        <v>0</v>
      </c>
      <c r="Q62" s="18"/>
    </row>
    <row r="63" spans="1:17" ht="12.75" customHeight="1">
      <c r="A63" s="33"/>
      <c r="B63" s="25"/>
      <c r="C63" s="25"/>
      <c r="D63" s="25"/>
      <c r="E63" s="25"/>
      <c r="F63" s="24"/>
      <c r="G63" s="47"/>
      <c r="H63" s="47"/>
      <c r="I63" s="47"/>
      <c r="J63" s="47"/>
      <c r="K63" s="32"/>
      <c r="L63" s="25"/>
      <c r="M63" s="25"/>
      <c r="N63" s="25"/>
      <c r="O63" s="25"/>
      <c r="P63" s="26"/>
      <c r="Q63" s="18"/>
    </row>
    <row r="64" spans="1:17" ht="12.75" customHeight="1">
      <c r="A64" s="33" t="s">
        <v>164</v>
      </c>
      <c r="B64" s="17">
        <f t="shared" ref="B64:K64" si="30">+B65+B69</f>
        <v>174991</v>
      </c>
      <c r="C64" s="17">
        <f t="shared" si="30"/>
        <v>106120</v>
      </c>
      <c r="D64" s="17">
        <f t="shared" si="30"/>
        <v>0</v>
      </c>
      <c r="E64" s="17">
        <f t="shared" si="30"/>
        <v>0</v>
      </c>
      <c r="F64" s="17">
        <f t="shared" si="30"/>
        <v>281111</v>
      </c>
      <c r="G64" s="17">
        <f t="shared" si="30"/>
        <v>174624</v>
      </c>
      <c r="H64" s="17">
        <f t="shared" si="30"/>
        <v>106120</v>
      </c>
      <c r="I64" s="17">
        <f t="shared" si="30"/>
        <v>0</v>
      </c>
      <c r="J64" s="17">
        <f t="shared" si="30"/>
        <v>0</v>
      </c>
      <c r="K64" s="17">
        <f t="shared" si="30"/>
        <v>280744</v>
      </c>
      <c r="L64" s="17">
        <f>+L65+L69</f>
        <v>367</v>
      </c>
      <c r="M64" s="17">
        <f>+M65+M69</f>
        <v>0</v>
      </c>
      <c r="N64" s="17"/>
      <c r="O64" s="17">
        <f>+O65+O69</f>
        <v>0</v>
      </c>
      <c r="P64" s="17">
        <f>+P65+P69</f>
        <v>367</v>
      </c>
      <c r="Q64" s="18">
        <f>+K64/F64</f>
        <v>0.99869446588714061</v>
      </c>
    </row>
    <row r="65" spans="1:17" ht="12.75" customHeight="1">
      <c r="A65" s="41" t="s">
        <v>15</v>
      </c>
      <c r="B65" s="20">
        <f t="shared" ref="B65:K65" si="31">+B66+B67+B68</f>
        <v>174991</v>
      </c>
      <c r="C65" s="20">
        <f t="shared" si="31"/>
        <v>106120</v>
      </c>
      <c r="D65" s="20">
        <f t="shared" si="31"/>
        <v>0</v>
      </c>
      <c r="E65" s="20">
        <f t="shared" si="31"/>
        <v>0</v>
      </c>
      <c r="F65" s="20">
        <f t="shared" si="31"/>
        <v>281111</v>
      </c>
      <c r="G65" s="20">
        <f t="shared" si="31"/>
        <v>174624</v>
      </c>
      <c r="H65" s="20">
        <f t="shared" si="31"/>
        <v>106120</v>
      </c>
      <c r="I65" s="20">
        <f t="shared" si="31"/>
        <v>0</v>
      </c>
      <c r="J65" s="20">
        <f t="shared" si="31"/>
        <v>0</v>
      </c>
      <c r="K65" s="20">
        <f t="shared" si="31"/>
        <v>280744</v>
      </c>
      <c r="L65" s="20">
        <f>+L66+L67+L68</f>
        <v>367</v>
      </c>
      <c r="M65" s="20">
        <f>+M66+M67+M68</f>
        <v>0</v>
      </c>
      <c r="N65" s="20"/>
      <c r="O65" s="20">
        <f>+O66+O67+O68</f>
        <v>0</v>
      </c>
      <c r="P65" s="21">
        <f>+P66+P67+P68</f>
        <v>367</v>
      </c>
      <c r="Q65" s="18"/>
    </row>
    <row r="66" spans="1:17" ht="12.75" customHeight="1">
      <c r="A66" s="22" t="s">
        <v>16</v>
      </c>
      <c r="B66" s="29">
        <v>145702</v>
      </c>
      <c r="C66" s="29">
        <v>106120</v>
      </c>
      <c r="D66" s="29"/>
      <c r="E66" s="30"/>
      <c r="F66" s="24">
        <f>SUM(B66:E66)</f>
        <v>251822</v>
      </c>
      <c r="G66" s="29">
        <v>145701</v>
      </c>
      <c r="H66" s="29">
        <v>106120</v>
      </c>
      <c r="I66" s="29"/>
      <c r="J66" s="29"/>
      <c r="K66" s="24">
        <f>SUM(G66:J66)</f>
        <v>251821</v>
      </c>
      <c r="L66" s="25">
        <f t="shared" ref="L66:M68" si="32">+B66-G66</f>
        <v>1</v>
      </c>
      <c r="M66" s="25">
        <f t="shared" si="32"/>
        <v>0</v>
      </c>
      <c r="N66" s="25"/>
      <c r="O66" s="25">
        <f>+E66-J66</f>
        <v>0</v>
      </c>
      <c r="P66" s="26">
        <f>SUM(L66:O66)</f>
        <v>1</v>
      </c>
      <c r="Q66" s="18"/>
    </row>
    <row r="67" spans="1:17" ht="12.75" customHeight="1">
      <c r="A67" s="22" t="s">
        <v>17</v>
      </c>
      <c r="B67" s="29">
        <v>14707</v>
      </c>
      <c r="C67" s="34"/>
      <c r="D67" s="34"/>
      <c r="E67" s="30"/>
      <c r="F67" s="24">
        <f>SUM(B67:E67)</f>
        <v>14707</v>
      </c>
      <c r="G67" s="29">
        <v>14707</v>
      </c>
      <c r="H67" s="34"/>
      <c r="I67" s="34"/>
      <c r="J67" s="34"/>
      <c r="K67" s="24">
        <f>SUM(G67:J67)</f>
        <v>14707</v>
      </c>
      <c r="L67" s="25">
        <f t="shared" si="32"/>
        <v>0</v>
      </c>
      <c r="M67" s="25">
        <f t="shared" si="32"/>
        <v>0</v>
      </c>
      <c r="N67" s="25"/>
      <c r="O67" s="25">
        <f>+E67-J67</f>
        <v>0</v>
      </c>
      <c r="P67" s="26">
        <f>SUM(L67:O67)</f>
        <v>0</v>
      </c>
      <c r="Q67" s="18"/>
    </row>
    <row r="68" spans="1:17" ht="12.75" customHeight="1">
      <c r="A68" s="22" t="s">
        <v>18</v>
      </c>
      <c r="B68" s="29">
        <v>14582</v>
      </c>
      <c r="C68" s="34"/>
      <c r="D68" s="34"/>
      <c r="E68" s="30"/>
      <c r="F68" s="24">
        <f>SUM(B68:E68)</f>
        <v>14582</v>
      </c>
      <c r="G68" s="29">
        <v>14216</v>
      </c>
      <c r="H68" s="34"/>
      <c r="I68" s="34"/>
      <c r="J68" s="34"/>
      <c r="K68" s="24">
        <f>SUM(G68:J68)</f>
        <v>14216</v>
      </c>
      <c r="L68" s="25">
        <f t="shared" si="32"/>
        <v>366</v>
      </c>
      <c r="M68" s="25">
        <f t="shared" si="32"/>
        <v>0</v>
      </c>
      <c r="N68" s="25"/>
      <c r="O68" s="25">
        <f>+E68-J68</f>
        <v>0</v>
      </c>
      <c r="P68" s="26">
        <f>SUM(L68:O68)</f>
        <v>366</v>
      </c>
      <c r="Q68" s="18"/>
    </row>
    <row r="69" spans="1:17" ht="12.75" customHeight="1">
      <c r="A69" s="22" t="s">
        <v>19</v>
      </c>
      <c r="B69" s="27">
        <f t="shared" ref="B69:K69" si="33">+B70+B71</f>
        <v>0</v>
      </c>
      <c r="C69" s="27">
        <f t="shared" si="33"/>
        <v>0</v>
      </c>
      <c r="D69" s="27">
        <f t="shared" si="33"/>
        <v>0</v>
      </c>
      <c r="E69" s="27">
        <f t="shared" si="33"/>
        <v>0</v>
      </c>
      <c r="F69" s="27">
        <f t="shared" si="33"/>
        <v>0</v>
      </c>
      <c r="G69" s="27">
        <f t="shared" si="33"/>
        <v>0</v>
      </c>
      <c r="H69" s="27">
        <f t="shared" si="33"/>
        <v>0</v>
      </c>
      <c r="I69" s="27">
        <f t="shared" si="33"/>
        <v>0</v>
      </c>
      <c r="J69" s="27">
        <f t="shared" si="33"/>
        <v>0</v>
      </c>
      <c r="K69" s="27">
        <f t="shared" si="33"/>
        <v>0</v>
      </c>
      <c r="L69" s="27">
        <f>+L70+L71</f>
        <v>0</v>
      </c>
      <c r="M69" s="27">
        <f>+M70+M71</f>
        <v>0</v>
      </c>
      <c r="N69" s="27"/>
      <c r="O69" s="27">
        <f>+O70+O71</f>
        <v>0</v>
      </c>
      <c r="P69" s="28">
        <f>+P70+P71</f>
        <v>0</v>
      </c>
      <c r="Q69" s="18"/>
    </row>
    <row r="70" spans="1:17" ht="12.75" customHeight="1">
      <c r="A70" s="23" t="s">
        <v>20</v>
      </c>
      <c r="B70" s="29"/>
      <c r="C70" s="29"/>
      <c r="D70" s="29"/>
      <c r="E70" s="30"/>
      <c r="F70" s="24">
        <f>SUM(B70:E70)</f>
        <v>0</v>
      </c>
      <c r="G70" s="29"/>
      <c r="H70" s="29"/>
      <c r="I70" s="29"/>
      <c r="J70" s="29"/>
      <c r="K70" s="24">
        <f>SUM(G70:J70)</f>
        <v>0</v>
      </c>
      <c r="L70" s="25">
        <f>+B70-G70</f>
        <v>0</v>
      </c>
      <c r="M70" s="25">
        <f>+C70-H70</f>
        <v>0</v>
      </c>
      <c r="N70" s="25"/>
      <c r="O70" s="25">
        <f>+E70-J70</f>
        <v>0</v>
      </c>
      <c r="P70" s="26">
        <f>SUM(L70:O70)</f>
        <v>0</v>
      </c>
      <c r="Q70" s="18"/>
    </row>
    <row r="71" spans="1:17" ht="12.75" customHeight="1">
      <c r="A71" s="23" t="s">
        <v>21</v>
      </c>
      <c r="B71" s="29"/>
      <c r="C71" s="29"/>
      <c r="D71" s="29"/>
      <c r="E71" s="30"/>
      <c r="F71" s="24">
        <f>SUM(B71:E71)</f>
        <v>0</v>
      </c>
      <c r="G71" s="29"/>
      <c r="H71" s="29"/>
      <c r="I71" s="29"/>
      <c r="J71" s="29"/>
      <c r="K71" s="24">
        <f>SUM(G71:J71)</f>
        <v>0</v>
      </c>
      <c r="L71" s="25">
        <f>+B71-G71</f>
        <v>0</v>
      </c>
      <c r="M71" s="25">
        <f>+C71-H71</f>
        <v>0</v>
      </c>
      <c r="N71" s="25"/>
      <c r="O71" s="25">
        <f>+E71-J71</f>
        <v>0</v>
      </c>
      <c r="P71" s="26">
        <f>SUM(L71:O71)</f>
        <v>0</v>
      </c>
      <c r="Q71" s="18"/>
    </row>
    <row r="72" spans="1:17" ht="12.75" customHeight="1">
      <c r="A72" s="33"/>
      <c r="B72" s="25"/>
      <c r="C72" s="25"/>
      <c r="D72" s="25"/>
      <c r="E72" s="25"/>
      <c r="F72" s="24"/>
      <c r="G72" s="47"/>
      <c r="H72" s="47"/>
      <c r="I72" s="47"/>
      <c r="J72" s="47"/>
      <c r="K72" s="32"/>
      <c r="L72" s="25"/>
      <c r="M72" s="25"/>
      <c r="N72" s="25"/>
      <c r="O72" s="25"/>
      <c r="P72" s="26"/>
      <c r="Q72" s="18"/>
    </row>
    <row r="73" spans="1:17" ht="12.75" customHeight="1">
      <c r="A73" s="33" t="s">
        <v>165</v>
      </c>
      <c r="B73" s="17">
        <f t="shared" ref="B73:K73" si="34">+B74+B78</f>
        <v>50209</v>
      </c>
      <c r="C73" s="17">
        <f t="shared" si="34"/>
        <v>165791</v>
      </c>
      <c r="D73" s="17">
        <f t="shared" si="34"/>
        <v>0</v>
      </c>
      <c r="E73" s="17">
        <f t="shared" si="34"/>
        <v>199905</v>
      </c>
      <c r="F73" s="17">
        <f t="shared" si="34"/>
        <v>415905</v>
      </c>
      <c r="G73" s="17">
        <f t="shared" si="34"/>
        <v>47118</v>
      </c>
      <c r="H73" s="17">
        <f t="shared" si="34"/>
        <v>163430</v>
      </c>
      <c r="I73" s="17">
        <f t="shared" si="34"/>
        <v>0</v>
      </c>
      <c r="J73" s="17">
        <f t="shared" si="34"/>
        <v>199799</v>
      </c>
      <c r="K73" s="17">
        <f t="shared" si="34"/>
        <v>410347</v>
      </c>
      <c r="L73" s="17">
        <f>+L74+L78</f>
        <v>3091</v>
      </c>
      <c r="M73" s="17">
        <f>+M74+M78</f>
        <v>2361</v>
      </c>
      <c r="N73" s="17"/>
      <c r="O73" s="17">
        <f>+O74+O78</f>
        <v>106</v>
      </c>
      <c r="P73" s="17">
        <f>+P74+P78</f>
        <v>5558</v>
      </c>
      <c r="Q73" s="18">
        <f>+K73/F73</f>
        <v>0.98663637128671211</v>
      </c>
    </row>
    <row r="74" spans="1:17" ht="12.75" customHeight="1">
      <c r="A74" s="41" t="s">
        <v>15</v>
      </c>
      <c r="B74" s="20">
        <f t="shared" ref="B74:K74" si="35">+B75+B76+B77</f>
        <v>50209</v>
      </c>
      <c r="C74" s="20">
        <f t="shared" si="35"/>
        <v>165298</v>
      </c>
      <c r="D74" s="20">
        <f t="shared" si="35"/>
        <v>0</v>
      </c>
      <c r="E74" s="20">
        <f t="shared" si="35"/>
        <v>69800</v>
      </c>
      <c r="F74" s="20">
        <f t="shared" si="35"/>
        <v>285307</v>
      </c>
      <c r="G74" s="20">
        <f t="shared" si="35"/>
        <v>47118</v>
      </c>
      <c r="H74" s="20">
        <f t="shared" si="35"/>
        <v>162937</v>
      </c>
      <c r="I74" s="20">
        <f t="shared" si="35"/>
        <v>0</v>
      </c>
      <c r="J74" s="20">
        <f t="shared" si="35"/>
        <v>69800</v>
      </c>
      <c r="K74" s="20">
        <f t="shared" si="35"/>
        <v>279855</v>
      </c>
      <c r="L74" s="20">
        <f>+L75+L76+L77</f>
        <v>3091</v>
      </c>
      <c r="M74" s="20">
        <f>+M75+M76+M77</f>
        <v>2361</v>
      </c>
      <c r="N74" s="20"/>
      <c r="O74" s="20">
        <f>+O75+O76+O77</f>
        <v>0</v>
      </c>
      <c r="P74" s="21">
        <f>+P75+P76+P77</f>
        <v>5452</v>
      </c>
      <c r="Q74" s="18"/>
    </row>
    <row r="75" spans="1:17" ht="12.75" customHeight="1">
      <c r="A75" s="22" t="s">
        <v>16</v>
      </c>
      <c r="B75" s="29">
        <v>43774</v>
      </c>
      <c r="C75" s="29">
        <v>78181</v>
      </c>
      <c r="D75" s="29"/>
      <c r="E75" s="30">
        <v>69800</v>
      </c>
      <c r="F75" s="24">
        <f>SUM(B75:E75)</f>
        <v>191755</v>
      </c>
      <c r="G75" s="29">
        <f>43214-G76</f>
        <v>42132</v>
      </c>
      <c r="H75" s="29">
        <f>162937-84756</f>
        <v>78181</v>
      </c>
      <c r="I75" s="29"/>
      <c r="J75" s="29">
        <f>199694-129894</f>
        <v>69800</v>
      </c>
      <c r="K75" s="24">
        <f>SUM(G75:J75)</f>
        <v>190113</v>
      </c>
      <c r="L75" s="25">
        <f t="shared" ref="L75:M77" si="36">+B75-G75</f>
        <v>1642</v>
      </c>
      <c r="M75" s="25">
        <f t="shared" si="36"/>
        <v>0</v>
      </c>
      <c r="N75" s="25"/>
      <c r="O75" s="25">
        <f>+E75-J75</f>
        <v>0</v>
      </c>
      <c r="P75" s="26">
        <f>SUM(L75:O75)</f>
        <v>1642</v>
      </c>
      <c r="Q75" s="18"/>
    </row>
    <row r="76" spans="1:17" ht="12.75" customHeight="1">
      <c r="A76" s="22" t="s">
        <v>17</v>
      </c>
      <c r="B76" s="29">
        <v>2232</v>
      </c>
      <c r="C76" s="29">
        <v>87117</v>
      </c>
      <c r="D76" s="29"/>
      <c r="E76" s="30"/>
      <c r="F76" s="24">
        <f>SUM(B76:E76)</f>
        <v>89349</v>
      </c>
      <c r="G76" s="29">
        <v>1082</v>
      </c>
      <c r="H76" s="29">
        <v>84756</v>
      </c>
      <c r="I76" s="29"/>
      <c r="J76" s="34"/>
      <c r="K76" s="24">
        <f>SUM(G76:J76)</f>
        <v>85838</v>
      </c>
      <c r="L76" s="25">
        <f t="shared" si="36"/>
        <v>1150</v>
      </c>
      <c r="M76" s="25">
        <f t="shared" si="36"/>
        <v>2361</v>
      </c>
      <c r="N76" s="25"/>
      <c r="O76" s="25">
        <f>+E76-J76</f>
        <v>0</v>
      </c>
      <c r="P76" s="26">
        <f>SUM(L76:O76)</f>
        <v>3511</v>
      </c>
      <c r="Q76" s="18"/>
    </row>
    <row r="77" spans="1:17" ht="12.75" customHeight="1">
      <c r="A77" s="22" t="s">
        <v>18</v>
      </c>
      <c r="B77" s="29">
        <v>4203</v>
      </c>
      <c r="C77" s="34"/>
      <c r="D77" s="34"/>
      <c r="E77" s="35"/>
      <c r="F77" s="24">
        <f>SUM(B77:E77)</f>
        <v>4203</v>
      </c>
      <c r="G77" s="29">
        <v>3904</v>
      </c>
      <c r="H77" s="34"/>
      <c r="I77" s="34"/>
      <c r="J77" s="34"/>
      <c r="K77" s="24">
        <f>SUM(G77:J77)</f>
        <v>3904</v>
      </c>
      <c r="L77" s="25">
        <f t="shared" si="36"/>
        <v>299</v>
      </c>
      <c r="M77" s="25">
        <f t="shared" si="36"/>
        <v>0</v>
      </c>
      <c r="N77" s="25"/>
      <c r="O77" s="25">
        <f>+E77-J77</f>
        <v>0</v>
      </c>
      <c r="P77" s="26">
        <f>SUM(L77:O77)</f>
        <v>299</v>
      </c>
      <c r="Q77" s="18"/>
    </row>
    <row r="78" spans="1:17" ht="12.75" customHeight="1">
      <c r="A78" s="22" t="s">
        <v>19</v>
      </c>
      <c r="B78" s="27">
        <f t="shared" ref="B78:K78" si="37">+B79+B80</f>
        <v>0</v>
      </c>
      <c r="C78" s="27">
        <f t="shared" si="37"/>
        <v>493</v>
      </c>
      <c r="D78" s="27">
        <f t="shared" si="37"/>
        <v>0</v>
      </c>
      <c r="E78" s="27">
        <f t="shared" si="37"/>
        <v>130105</v>
      </c>
      <c r="F78" s="27">
        <f t="shared" si="37"/>
        <v>130598</v>
      </c>
      <c r="G78" s="27">
        <f t="shared" si="37"/>
        <v>0</v>
      </c>
      <c r="H78" s="27">
        <f t="shared" si="37"/>
        <v>493</v>
      </c>
      <c r="I78" s="27">
        <f t="shared" si="37"/>
        <v>0</v>
      </c>
      <c r="J78" s="27">
        <f t="shared" si="37"/>
        <v>129999</v>
      </c>
      <c r="K78" s="27">
        <f t="shared" si="37"/>
        <v>130492</v>
      </c>
      <c r="L78" s="27">
        <f>+L79+L80</f>
        <v>0</v>
      </c>
      <c r="M78" s="27">
        <f>+M79+M80</f>
        <v>0</v>
      </c>
      <c r="N78" s="27"/>
      <c r="O78" s="27">
        <f>+O79+O80</f>
        <v>106</v>
      </c>
      <c r="P78" s="28">
        <f>+P79+P80</f>
        <v>106</v>
      </c>
      <c r="Q78" s="18"/>
    </row>
    <row r="79" spans="1:17" ht="12.75" customHeight="1">
      <c r="A79" s="23" t="s">
        <v>20</v>
      </c>
      <c r="B79" s="29"/>
      <c r="C79" s="29">
        <v>493</v>
      </c>
      <c r="D79" s="29"/>
      <c r="E79" s="30">
        <v>105</v>
      </c>
      <c r="F79" s="24">
        <f>SUM(B79:E79)</f>
        <v>598</v>
      </c>
      <c r="G79" s="29"/>
      <c r="H79" s="29">
        <v>493</v>
      </c>
      <c r="I79" s="29"/>
      <c r="J79" s="29">
        <v>105</v>
      </c>
      <c r="K79" s="24">
        <f>SUM(G79:J79)</f>
        <v>598</v>
      </c>
      <c r="L79" s="25">
        <f>+B79-G79</f>
        <v>0</v>
      </c>
      <c r="M79" s="25">
        <f>+C79-H79</f>
        <v>0</v>
      </c>
      <c r="N79" s="25"/>
      <c r="O79" s="25">
        <f>+E79-J79</f>
        <v>0</v>
      </c>
      <c r="P79" s="26">
        <f>SUM(L79:O79)</f>
        <v>0</v>
      </c>
      <c r="Q79" s="18"/>
    </row>
    <row r="80" spans="1:17" ht="12.75" customHeight="1">
      <c r="A80" s="23" t="s">
        <v>21</v>
      </c>
      <c r="B80" s="29"/>
      <c r="C80" s="29"/>
      <c r="D80" s="29"/>
      <c r="E80" s="30">
        <v>130000</v>
      </c>
      <c r="F80" s="24">
        <f>SUM(B80:E80)</f>
        <v>130000</v>
      </c>
      <c r="G80" s="29"/>
      <c r="H80" s="29"/>
      <c r="I80" s="29"/>
      <c r="J80" s="29">
        <v>129894</v>
      </c>
      <c r="K80" s="24">
        <f>SUM(G80:J80)</f>
        <v>129894</v>
      </c>
      <c r="L80" s="25">
        <f>+B80-G80</f>
        <v>0</v>
      </c>
      <c r="M80" s="25">
        <f>+C80-H80</f>
        <v>0</v>
      </c>
      <c r="N80" s="25"/>
      <c r="O80" s="25">
        <f>+E80-J80</f>
        <v>106</v>
      </c>
      <c r="P80" s="26">
        <f>SUM(L80:O80)</f>
        <v>106</v>
      </c>
      <c r="Q80" s="18"/>
    </row>
    <row r="81" spans="1:17" ht="12.75" customHeight="1">
      <c r="A81" s="67"/>
      <c r="B81" s="44"/>
      <c r="C81" s="44"/>
      <c r="D81" s="44"/>
      <c r="E81" s="44"/>
      <c r="F81" s="77"/>
      <c r="G81" s="84"/>
      <c r="H81" s="84"/>
      <c r="I81" s="84"/>
      <c r="J81" s="84"/>
      <c r="K81" s="82"/>
      <c r="L81" s="44"/>
      <c r="M81" s="44"/>
      <c r="N81" s="44"/>
      <c r="O81" s="44"/>
      <c r="P81" s="75"/>
      <c r="Q81" s="76"/>
    </row>
    <row r="82" spans="1:17">
      <c r="A82" s="80"/>
    </row>
    <row r="83" spans="1:17">
      <c r="A83" s="80" t="s">
        <v>355</v>
      </c>
    </row>
    <row r="84" spans="1:17">
      <c r="A84" s="80"/>
    </row>
    <row r="85" spans="1:17">
      <c r="A85" s="80"/>
    </row>
    <row r="86" spans="1:17">
      <c r="A86" s="80"/>
    </row>
    <row r="87" spans="1:17">
      <c r="A87" s="80"/>
    </row>
    <row r="88" spans="1:17">
      <c r="A88" s="80"/>
    </row>
    <row r="89" spans="1:17">
      <c r="A89" s="80"/>
    </row>
    <row r="90" spans="1:17">
      <c r="A90" s="80"/>
    </row>
    <row r="91" spans="1:17">
      <c r="A91" s="80"/>
    </row>
    <row r="92" spans="1:17">
      <c r="A92" s="80"/>
    </row>
    <row r="93" spans="1:17">
      <c r="A93" s="80"/>
    </row>
    <row r="94" spans="1:17">
      <c r="A94" s="80"/>
    </row>
    <row r="95" spans="1:17">
      <c r="A95" s="80"/>
    </row>
    <row r="96" spans="1:17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0" fitToWidth="0" fitToHeight="0" orientation="landscape" r:id="rId1"/>
  <headerFooter alignWithMargins="0">
    <oddFooter>Page &amp;P of &amp;N</oddFooter>
  </headerFooter>
  <rowBreaks count="1" manualBreakCount="1">
    <brk id="54" max="1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D1418"/>
  <sheetViews>
    <sheetView showRuler="0" zoomScaleSheetLayoutView="100" workbookViewId="0">
      <pane xSplit="1" ySplit="8" topLeftCell="B324" activePane="bottomRight" state="frozen"/>
      <selection activeCell="A155" sqref="A155:Q155"/>
      <selection pane="topRight" activeCell="A155" sqref="A155:Q155"/>
      <selection pane="bottomLeft" activeCell="A155" sqref="A155:Q155"/>
      <selection pane="bottomRight" activeCell="A155" sqref="A155:Q155"/>
    </sheetView>
  </sheetViews>
  <sheetFormatPr defaultRowHeight="12.75"/>
  <cols>
    <col min="1" max="1" width="38.8554687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166</v>
      </c>
      <c r="B10" s="17">
        <f t="shared" ref="B10:P10" si="0">+B11+B15+B16</f>
        <v>4266080</v>
      </c>
      <c r="C10" s="17">
        <f t="shared" si="0"/>
        <v>12695707</v>
      </c>
      <c r="D10" s="17">
        <f t="shared" si="0"/>
        <v>5</v>
      </c>
      <c r="E10" s="17">
        <f t="shared" si="0"/>
        <v>1598471</v>
      </c>
      <c r="F10" s="17">
        <f t="shared" si="0"/>
        <v>18560263</v>
      </c>
      <c r="G10" s="17">
        <f t="shared" si="0"/>
        <v>4159059.4820000003</v>
      </c>
      <c r="H10" s="17">
        <f t="shared" si="0"/>
        <v>8610607.6099999994</v>
      </c>
      <c r="I10" s="17">
        <f t="shared" si="0"/>
        <v>0</v>
      </c>
      <c r="J10" s="17">
        <f t="shared" si="0"/>
        <v>598499.64800000004</v>
      </c>
      <c r="K10" s="17">
        <f t="shared" si="0"/>
        <v>13368166.74</v>
      </c>
      <c r="L10" s="17">
        <f t="shared" si="0"/>
        <v>107020.51799999998</v>
      </c>
      <c r="M10" s="17">
        <f t="shared" si="0"/>
        <v>4085099.3899999997</v>
      </c>
      <c r="N10" s="17">
        <f t="shared" si="0"/>
        <v>5</v>
      </c>
      <c r="O10" s="17">
        <f t="shared" si="0"/>
        <v>999971.35200000007</v>
      </c>
      <c r="P10" s="17">
        <f t="shared" si="0"/>
        <v>5192096.26</v>
      </c>
      <c r="Q10" s="18">
        <f>+K10/F10</f>
        <v>0.72025739829225477</v>
      </c>
    </row>
    <row r="11" spans="1:18" ht="12.75" customHeight="1">
      <c r="A11" s="41" t="s">
        <v>15</v>
      </c>
      <c r="B11" s="20">
        <f t="shared" ref="B11:P11" si="1">+B12+B13+B14</f>
        <v>4266080</v>
      </c>
      <c r="C11" s="20">
        <f t="shared" si="1"/>
        <v>11055175</v>
      </c>
      <c r="D11" s="20">
        <f t="shared" si="1"/>
        <v>5</v>
      </c>
      <c r="E11" s="20">
        <f t="shared" si="1"/>
        <v>1458507</v>
      </c>
      <c r="F11" s="20">
        <f t="shared" si="1"/>
        <v>16779767</v>
      </c>
      <c r="G11" s="20">
        <f t="shared" si="1"/>
        <v>4159059.4820000003</v>
      </c>
      <c r="H11" s="20">
        <f t="shared" si="1"/>
        <v>7131526.6099999994</v>
      </c>
      <c r="I11" s="20">
        <f t="shared" si="1"/>
        <v>0</v>
      </c>
      <c r="J11" s="20">
        <f t="shared" si="1"/>
        <v>591080.64800000004</v>
      </c>
      <c r="K11" s="20">
        <f t="shared" si="1"/>
        <v>11881666.74</v>
      </c>
      <c r="L11" s="20">
        <f t="shared" si="1"/>
        <v>107020.51799999998</v>
      </c>
      <c r="M11" s="20">
        <f t="shared" si="1"/>
        <v>3923648.3899999997</v>
      </c>
      <c r="N11" s="20">
        <f t="shared" si="1"/>
        <v>5</v>
      </c>
      <c r="O11" s="20">
        <f t="shared" si="1"/>
        <v>867426.35200000007</v>
      </c>
      <c r="P11" s="21">
        <f t="shared" si="1"/>
        <v>4898100.26</v>
      </c>
      <c r="Q11" s="18"/>
    </row>
    <row r="12" spans="1:18" ht="12.75" customHeight="1">
      <c r="A12" s="22" t="s">
        <v>16</v>
      </c>
      <c r="B12" s="25">
        <f t="shared" ref="B12:E14" si="2">+B22+B31+B40+B49+B59+B68+B77+B86+B95+B104+B113+B122+B131+B140+B149+B158+B167+B176+B185+B194+B203+B212+B221+B230+B239+B248+B257+B266+B275+B284+B293+B302+B311+B320+B329</f>
        <v>3535927</v>
      </c>
      <c r="C12" s="25">
        <f t="shared" si="2"/>
        <v>8939302</v>
      </c>
      <c r="D12" s="25">
        <f t="shared" si="2"/>
        <v>0</v>
      </c>
      <c r="E12" s="25">
        <f t="shared" si="2"/>
        <v>1282407</v>
      </c>
      <c r="F12" s="24">
        <f>SUM(B12:E12)</f>
        <v>13757636</v>
      </c>
      <c r="G12" s="25">
        <f t="shared" ref="G12:J14" si="3">+G22+G31+G40+G49+G59+G68+G77+G86+G95+G104+G113+G122+G131+G140+G149+G158+G167+G176+G185+G194+G203+G212+G221+G230+G239+G248+G257+G266+G275+G284+G293+G302+G311+G320+G329</f>
        <v>3477983.2930000001</v>
      </c>
      <c r="H12" s="25">
        <f t="shared" si="3"/>
        <v>5238932.5389999999</v>
      </c>
      <c r="I12" s="25">
        <f t="shared" si="3"/>
        <v>0</v>
      </c>
      <c r="J12" s="25">
        <f t="shared" si="3"/>
        <v>441364.859</v>
      </c>
      <c r="K12" s="24">
        <f>SUM(G12:J12)</f>
        <v>9158280.6909999996</v>
      </c>
      <c r="L12" s="25">
        <f t="shared" ref="L12:O14" si="4">+B12-G12</f>
        <v>57943.706999999937</v>
      </c>
      <c r="M12" s="25">
        <f t="shared" si="4"/>
        <v>3700369.4610000001</v>
      </c>
      <c r="N12" s="25">
        <f t="shared" si="4"/>
        <v>0</v>
      </c>
      <c r="O12" s="25">
        <f t="shared" si="4"/>
        <v>841042.14100000006</v>
      </c>
      <c r="P12" s="26">
        <f>SUM(L12:O12)</f>
        <v>4599355.3090000004</v>
      </c>
      <c r="Q12" s="18"/>
    </row>
    <row r="13" spans="1:18" ht="12.75" customHeight="1">
      <c r="A13" s="22" t="s">
        <v>17</v>
      </c>
      <c r="B13" s="25">
        <f t="shared" si="2"/>
        <v>389110</v>
      </c>
      <c r="C13" s="25">
        <f t="shared" si="2"/>
        <v>156865</v>
      </c>
      <c r="D13" s="25">
        <f t="shared" si="2"/>
        <v>0</v>
      </c>
      <c r="E13" s="25">
        <f t="shared" si="2"/>
        <v>0</v>
      </c>
      <c r="F13" s="24">
        <f>SUM(B13:E13)</f>
        <v>545975</v>
      </c>
      <c r="G13" s="25">
        <f t="shared" si="3"/>
        <v>368770.71399999998</v>
      </c>
      <c r="H13" s="25">
        <f t="shared" si="3"/>
        <v>110779.356</v>
      </c>
      <c r="I13" s="25">
        <f t="shared" si="3"/>
        <v>0</v>
      </c>
      <c r="J13" s="25">
        <f t="shared" si="3"/>
        <v>0</v>
      </c>
      <c r="K13" s="24">
        <f>SUM(G13:J13)</f>
        <v>479550.06999999995</v>
      </c>
      <c r="L13" s="25">
        <f t="shared" si="4"/>
        <v>20339.286000000022</v>
      </c>
      <c r="M13" s="25">
        <f t="shared" si="4"/>
        <v>46085.644</v>
      </c>
      <c r="N13" s="25">
        <f t="shared" si="4"/>
        <v>0</v>
      </c>
      <c r="O13" s="25">
        <f t="shared" si="4"/>
        <v>0</v>
      </c>
      <c r="P13" s="26">
        <f>SUM(L13:O13)</f>
        <v>66424.930000000022</v>
      </c>
      <c r="Q13" s="18"/>
    </row>
    <row r="14" spans="1:18" ht="12.75" customHeight="1">
      <c r="A14" s="22" t="s">
        <v>18</v>
      </c>
      <c r="B14" s="25">
        <f t="shared" si="2"/>
        <v>341043</v>
      </c>
      <c r="C14" s="25">
        <f t="shared" si="2"/>
        <v>1959008</v>
      </c>
      <c r="D14" s="25">
        <f t="shared" si="2"/>
        <v>5</v>
      </c>
      <c r="E14" s="25">
        <f t="shared" si="2"/>
        <v>176100</v>
      </c>
      <c r="F14" s="24">
        <f>SUM(B14:E14)</f>
        <v>2476156</v>
      </c>
      <c r="G14" s="25">
        <f t="shared" si="3"/>
        <v>312305.47499999998</v>
      </c>
      <c r="H14" s="25">
        <f t="shared" si="3"/>
        <v>1781814.7150000001</v>
      </c>
      <c r="I14" s="25">
        <f t="shared" si="3"/>
        <v>0</v>
      </c>
      <c r="J14" s="25">
        <f t="shared" si="3"/>
        <v>149715.78899999999</v>
      </c>
      <c r="K14" s="24">
        <f>SUM(G14:J14)</f>
        <v>2243835.9789999998</v>
      </c>
      <c r="L14" s="25">
        <f t="shared" si="4"/>
        <v>28737.525000000023</v>
      </c>
      <c r="M14" s="25">
        <f t="shared" si="4"/>
        <v>177193.28499999992</v>
      </c>
      <c r="N14" s="25">
        <f t="shared" si="4"/>
        <v>5</v>
      </c>
      <c r="O14" s="25">
        <f t="shared" si="4"/>
        <v>26384.21100000001</v>
      </c>
      <c r="P14" s="26">
        <f>SUM(L14:O14)</f>
        <v>232320.02099999995</v>
      </c>
      <c r="Q14" s="18"/>
    </row>
    <row r="15" spans="1:18" ht="12.75" customHeight="1">
      <c r="A15" s="22" t="s">
        <v>30</v>
      </c>
      <c r="B15" s="25">
        <f t="shared" ref="B15:P15" si="5">+B52</f>
        <v>0</v>
      </c>
      <c r="C15" s="25">
        <f t="shared" si="5"/>
        <v>0</v>
      </c>
      <c r="D15" s="25">
        <f t="shared" si="5"/>
        <v>0</v>
      </c>
      <c r="E15" s="25">
        <f t="shared" si="5"/>
        <v>25500</v>
      </c>
      <c r="F15" s="25">
        <f t="shared" si="5"/>
        <v>25500</v>
      </c>
      <c r="G15" s="25">
        <f t="shared" si="5"/>
        <v>0</v>
      </c>
      <c r="H15" s="25">
        <f t="shared" si="5"/>
        <v>0</v>
      </c>
      <c r="I15" s="25">
        <f t="shared" si="5"/>
        <v>0</v>
      </c>
      <c r="J15" s="25">
        <f t="shared" si="5"/>
        <v>500</v>
      </c>
      <c r="K15" s="25">
        <f t="shared" si="5"/>
        <v>500</v>
      </c>
      <c r="L15" s="25">
        <f t="shared" si="5"/>
        <v>0</v>
      </c>
      <c r="M15" s="25">
        <f t="shared" si="5"/>
        <v>0</v>
      </c>
      <c r="N15" s="25">
        <f t="shared" si="5"/>
        <v>0</v>
      </c>
      <c r="O15" s="25">
        <f t="shared" si="5"/>
        <v>25000</v>
      </c>
      <c r="P15" s="25">
        <f t="shared" si="5"/>
        <v>25000</v>
      </c>
      <c r="Q15" s="18"/>
    </row>
    <row r="16" spans="1:18" ht="12.75" customHeight="1">
      <c r="A16" s="22" t="s">
        <v>19</v>
      </c>
      <c r="B16" s="44">
        <f t="shared" ref="B16:P16" si="6">+B17+B18</f>
        <v>0</v>
      </c>
      <c r="C16" s="44">
        <f t="shared" si="6"/>
        <v>1640532</v>
      </c>
      <c r="D16" s="44">
        <f t="shared" si="6"/>
        <v>0</v>
      </c>
      <c r="E16" s="45">
        <f t="shared" si="6"/>
        <v>114464</v>
      </c>
      <c r="F16" s="44">
        <f t="shared" si="6"/>
        <v>1754996</v>
      </c>
      <c r="G16" s="44">
        <f t="shared" si="6"/>
        <v>0</v>
      </c>
      <c r="H16" s="44">
        <f t="shared" si="6"/>
        <v>1479081</v>
      </c>
      <c r="I16" s="44">
        <f t="shared" si="6"/>
        <v>0</v>
      </c>
      <c r="J16" s="45">
        <f t="shared" si="6"/>
        <v>6919</v>
      </c>
      <c r="K16" s="44">
        <f t="shared" si="6"/>
        <v>1486000</v>
      </c>
      <c r="L16" s="44">
        <f t="shared" si="6"/>
        <v>0</v>
      </c>
      <c r="M16" s="44">
        <f t="shared" si="6"/>
        <v>161451</v>
      </c>
      <c r="N16" s="44">
        <f t="shared" si="6"/>
        <v>0</v>
      </c>
      <c r="O16" s="44">
        <f t="shared" si="6"/>
        <v>107545</v>
      </c>
      <c r="P16" s="45">
        <f t="shared" si="6"/>
        <v>268996</v>
      </c>
      <c r="Q16" s="18"/>
    </row>
    <row r="17" spans="1:17" ht="12.75" customHeight="1">
      <c r="A17" s="23" t="s">
        <v>20</v>
      </c>
      <c r="B17" s="25">
        <f t="shared" ref="B17:E18" si="7">+B26+B35+B44+B54+B63+B72+B81+B90+B99+B108+B117+B126+B135+B144+B153+B162+B171+B180+B189+B198+B207+B216+B225+B234+B243+B252+B261+B270+B279+B288+B297+B306+B315+B324+B333</f>
        <v>0</v>
      </c>
      <c r="C17" s="25">
        <f t="shared" si="7"/>
        <v>1583132</v>
      </c>
      <c r="D17" s="25">
        <f t="shared" si="7"/>
        <v>0</v>
      </c>
      <c r="E17" s="25">
        <f t="shared" si="7"/>
        <v>114464</v>
      </c>
      <c r="F17" s="24">
        <f>SUM(B17:E17)</f>
        <v>1697596</v>
      </c>
      <c r="G17" s="25">
        <f t="shared" ref="G17:J18" si="8">+G26+G35+G44+G54+G63+G72+G81+G90+G99+G108+G117+G126+G135+G144+G153+G162+G171+G180+G189+G198+G207+G216+G225+G234+G243+G252+G261+G270+G279+G288+G297+G306+G315+G324+G333</f>
        <v>0</v>
      </c>
      <c r="H17" s="25">
        <f t="shared" si="8"/>
        <v>1421681</v>
      </c>
      <c r="I17" s="25">
        <f t="shared" si="8"/>
        <v>0</v>
      </c>
      <c r="J17" s="25">
        <f t="shared" si="8"/>
        <v>6919</v>
      </c>
      <c r="K17" s="24">
        <f>SUM(G17:J17)</f>
        <v>1428600</v>
      </c>
      <c r="L17" s="25">
        <f t="shared" ref="L17:O18" si="9">+B17-G17</f>
        <v>0</v>
      </c>
      <c r="M17" s="25">
        <f t="shared" si="9"/>
        <v>161451</v>
      </c>
      <c r="N17" s="25">
        <f t="shared" si="9"/>
        <v>0</v>
      </c>
      <c r="O17" s="25">
        <f t="shared" si="9"/>
        <v>107545</v>
      </c>
      <c r="P17" s="26">
        <f>SUM(L17:O17)</f>
        <v>268996</v>
      </c>
      <c r="Q17" s="18"/>
    </row>
    <row r="18" spans="1:17" ht="12.75" customHeight="1">
      <c r="A18" s="23" t="s">
        <v>21</v>
      </c>
      <c r="B18" s="25">
        <f t="shared" si="7"/>
        <v>0</v>
      </c>
      <c r="C18" s="25">
        <f t="shared" si="7"/>
        <v>57400</v>
      </c>
      <c r="D18" s="25">
        <f t="shared" si="7"/>
        <v>0</v>
      </c>
      <c r="E18" s="25">
        <f t="shared" si="7"/>
        <v>0</v>
      </c>
      <c r="F18" s="24">
        <f>SUM(B18:E18)</f>
        <v>57400</v>
      </c>
      <c r="G18" s="25">
        <f t="shared" si="8"/>
        <v>0</v>
      </c>
      <c r="H18" s="25">
        <f t="shared" si="8"/>
        <v>57400</v>
      </c>
      <c r="I18" s="25">
        <f t="shared" si="8"/>
        <v>0</v>
      </c>
      <c r="J18" s="25">
        <f t="shared" si="8"/>
        <v>0</v>
      </c>
      <c r="K18" s="24">
        <f>SUM(G18:J18)</f>
        <v>57400</v>
      </c>
      <c r="L18" s="25">
        <f t="shared" si="9"/>
        <v>0</v>
      </c>
      <c r="M18" s="25">
        <f t="shared" si="9"/>
        <v>0</v>
      </c>
      <c r="N18" s="25">
        <f t="shared" si="9"/>
        <v>0</v>
      </c>
      <c r="O18" s="25">
        <f t="shared" si="9"/>
        <v>0</v>
      </c>
      <c r="P18" s="26">
        <f>SUM(L18:O18)</f>
        <v>0</v>
      </c>
      <c r="Q18" s="18"/>
    </row>
    <row r="19" spans="1:17" ht="12.75" customHeight="1">
      <c r="A19" s="22"/>
      <c r="B19" s="25"/>
      <c r="C19" s="25"/>
      <c r="D19" s="25"/>
      <c r="E19" s="43"/>
      <c r="F19" s="24"/>
      <c r="G19" s="25"/>
      <c r="H19" s="25"/>
      <c r="I19" s="25"/>
      <c r="J19" s="25"/>
      <c r="K19" s="24"/>
      <c r="L19" s="25"/>
      <c r="M19" s="25"/>
      <c r="N19" s="25"/>
      <c r="O19" s="25"/>
      <c r="P19" s="26"/>
      <c r="Q19" s="18"/>
    </row>
    <row r="20" spans="1:17" ht="12.75" customHeight="1">
      <c r="A20" s="42" t="s">
        <v>167</v>
      </c>
      <c r="B20" s="17">
        <f t="shared" ref="B20:F20" si="10">+B21+B25</f>
        <v>0</v>
      </c>
      <c r="C20" s="17">
        <f t="shared" si="10"/>
        <v>38442</v>
      </c>
      <c r="D20" s="17">
        <f t="shared" si="10"/>
        <v>0</v>
      </c>
      <c r="E20" s="17">
        <f t="shared" si="10"/>
        <v>6134</v>
      </c>
      <c r="F20" s="17">
        <f t="shared" si="10"/>
        <v>44576</v>
      </c>
      <c r="G20" s="17">
        <f>+G21+G25</f>
        <v>0</v>
      </c>
      <c r="H20" s="17">
        <f>+H21+H25</f>
        <v>22387</v>
      </c>
      <c r="I20" s="17"/>
      <c r="J20" s="17">
        <f>+J21+J25</f>
        <v>968</v>
      </c>
      <c r="K20" s="17">
        <f t="shared" ref="K20" si="11">+K21+K25</f>
        <v>23355</v>
      </c>
      <c r="L20" s="17">
        <f>+L21+L25</f>
        <v>0</v>
      </c>
      <c r="M20" s="17">
        <f>+M21+M25</f>
        <v>16055</v>
      </c>
      <c r="N20" s="17"/>
      <c r="O20" s="17">
        <f>+O21+O25</f>
        <v>5166</v>
      </c>
      <c r="P20" s="17">
        <f>+P21+P25</f>
        <v>21221</v>
      </c>
      <c r="Q20" s="18">
        <f>+K20/F20</f>
        <v>0.52393664752333091</v>
      </c>
    </row>
    <row r="21" spans="1:17" ht="12.75" customHeight="1">
      <c r="A21" s="41" t="s">
        <v>15</v>
      </c>
      <c r="B21" s="20">
        <f t="shared" ref="B21:J21" si="12">+B22+B23+B24</f>
        <v>0</v>
      </c>
      <c r="C21" s="20">
        <f t="shared" si="12"/>
        <v>32671</v>
      </c>
      <c r="D21" s="20">
        <f t="shared" si="12"/>
        <v>0</v>
      </c>
      <c r="E21" s="20">
        <f t="shared" si="12"/>
        <v>6134</v>
      </c>
      <c r="F21" s="20">
        <f t="shared" si="12"/>
        <v>38805</v>
      </c>
      <c r="G21" s="20">
        <f t="shared" si="12"/>
        <v>0</v>
      </c>
      <c r="H21" s="20">
        <f t="shared" si="12"/>
        <v>16616</v>
      </c>
      <c r="I21" s="20"/>
      <c r="J21" s="20">
        <f t="shared" si="12"/>
        <v>968</v>
      </c>
      <c r="K21" s="20">
        <f>+K22+K23+K24</f>
        <v>17584</v>
      </c>
      <c r="L21" s="20">
        <f>+L22+L23+L24</f>
        <v>0</v>
      </c>
      <c r="M21" s="20">
        <f>+M22+M23+M24</f>
        <v>16055</v>
      </c>
      <c r="N21" s="20"/>
      <c r="O21" s="20">
        <f>+O22+O23+O24</f>
        <v>5166</v>
      </c>
      <c r="P21" s="21">
        <f>+P22+P23+P24</f>
        <v>21221</v>
      </c>
      <c r="Q21" s="18"/>
    </row>
    <row r="22" spans="1:17" ht="12.75" customHeight="1">
      <c r="A22" s="22" t="s">
        <v>16</v>
      </c>
      <c r="B22" s="25"/>
      <c r="C22" s="25">
        <v>32671</v>
      </c>
      <c r="D22" s="25"/>
      <c r="E22" s="43">
        <v>6134</v>
      </c>
      <c r="F22" s="24">
        <f>SUM(B22:E22)</f>
        <v>38805</v>
      </c>
      <c r="G22" s="29"/>
      <c r="H22" s="29">
        <v>16616</v>
      </c>
      <c r="I22" s="29"/>
      <c r="J22" s="29">
        <v>968</v>
      </c>
      <c r="K22" s="24">
        <f>SUM(G22:J22)</f>
        <v>17584</v>
      </c>
      <c r="L22" s="25">
        <f t="shared" ref="L22:M24" si="13">+B22-G22</f>
        <v>0</v>
      </c>
      <c r="M22" s="25">
        <f t="shared" si="13"/>
        <v>16055</v>
      </c>
      <c r="N22" s="25"/>
      <c r="O22" s="25">
        <f>+E22-J22</f>
        <v>5166</v>
      </c>
      <c r="P22" s="26">
        <f>SUM(L22:O22)</f>
        <v>21221</v>
      </c>
      <c r="Q22" s="18"/>
    </row>
    <row r="23" spans="1:17" ht="12.75" customHeight="1">
      <c r="A23" s="22" t="s">
        <v>17</v>
      </c>
      <c r="B23" s="25"/>
      <c r="C23" s="25"/>
      <c r="D23" s="25"/>
      <c r="E23" s="43"/>
      <c r="F23" s="24">
        <f>SUM(B23:E23)</f>
        <v>0</v>
      </c>
      <c r="G23" s="29"/>
      <c r="H23" s="34"/>
      <c r="I23" s="34"/>
      <c r="J23" s="34"/>
      <c r="K23" s="24">
        <f>SUM(G23:J23)</f>
        <v>0</v>
      </c>
      <c r="L23" s="25">
        <f t="shared" si="13"/>
        <v>0</v>
      </c>
      <c r="M23" s="25">
        <f t="shared" si="13"/>
        <v>0</v>
      </c>
      <c r="N23" s="25"/>
      <c r="O23" s="25">
        <f>+E23-J23</f>
        <v>0</v>
      </c>
      <c r="P23" s="26">
        <f>SUM(L23:O23)</f>
        <v>0</v>
      </c>
      <c r="Q23" s="18"/>
    </row>
    <row r="24" spans="1:17" ht="12.75" customHeight="1">
      <c r="A24" s="22" t="s">
        <v>18</v>
      </c>
      <c r="B24" s="25"/>
      <c r="C24" s="25"/>
      <c r="D24" s="25"/>
      <c r="E24" s="43"/>
      <c r="F24" s="24">
        <f>SUM(B24:E24)</f>
        <v>0</v>
      </c>
      <c r="G24" s="29"/>
      <c r="H24" s="34"/>
      <c r="I24" s="34"/>
      <c r="J24" s="34"/>
      <c r="K24" s="24">
        <f>SUM(G24:J24)</f>
        <v>0</v>
      </c>
      <c r="L24" s="25">
        <f t="shared" si="13"/>
        <v>0</v>
      </c>
      <c r="M24" s="25">
        <f t="shared" si="13"/>
        <v>0</v>
      </c>
      <c r="N24" s="25"/>
      <c r="O24" s="25">
        <f>+E24-J24</f>
        <v>0</v>
      </c>
      <c r="P24" s="26">
        <f>SUM(L24:O24)</f>
        <v>0</v>
      </c>
      <c r="Q24" s="18"/>
    </row>
    <row r="25" spans="1:17" ht="12.75" customHeight="1">
      <c r="A25" s="22" t="s">
        <v>19</v>
      </c>
      <c r="B25" s="44">
        <f t="shared" ref="B25:F25" si="14">+B26+B27</f>
        <v>0</v>
      </c>
      <c r="C25" s="44">
        <f t="shared" si="14"/>
        <v>5771</v>
      </c>
      <c r="D25" s="44">
        <f t="shared" si="14"/>
        <v>0</v>
      </c>
      <c r="E25" s="44">
        <f t="shared" si="14"/>
        <v>0</v>
      </c>
      <c r="F25" s="44">
        <f t="shared" si="14"/>
        <v>5771</v>
      </c>
      <c r="G25" s="27">
        <f>+G26+G27</f>
        <v>0</v>
      </c>
      <c r="H25" s="27">
        <f>+H26+H27</f>
        <v>5771</v>
      </c>
      <c r="I25" s="27"/>
      <c r="J25" s="27">
        <f>+J26+J27</f>
        <v>0</v>
      </c>
      <c r="K25" s="27">
        <f t="shared" ref="K25" si="15">+K26+K27</f>
        <v>5771</v>
      </c>
      <c r="L25" s="44">
        <f>+L26+L27</f>
        <v>0</v>
      </c>
      <c r="M25" s="44">
        <f>+M26+M27</f>
        <v>0</v>
      </c>
      <c r="N25" s="44"/>
      <c r="O25" s="44">
        <f>+O26+O27</f>
        <v>0</v>
      </c>
      <c r="P25" s="45">
        <f>+P26+P27</f>
        <v>0</v>
      </c>
      <c r="Q25" s="18"/>
    </row>
    <row r="26" spans="1:17" ht="12.75" customHeight="1">
      <c r="A26" s="23" t="s">
        <v>20</v>
      </c>
      <c r="B26" s="25"/>
      <c r="C26" s="25">
        <v>5771</v>
      </c>
      <c r="D26" s="25"/>
      <c r="E26" s="43"/>
      <c r="F26" s="24">
        <f>SUM(B26:E26)</f>
        <v>5771</v>
      </c>
      <c r="G26" s="29"/>
      <c r="H26" s="29">
        <v>5771</v>
      </c>
      <c r="I26" s="29"/>
      <c r="J26" s="29"/>
      <c r="K26" s="24">
        <f>SUM(G26:J26)</f>
        <v>5771</v>
      </c>
      <c r="L26" s="25">
        <f>+B26-G26</f>
        <v>0</v>
      </c>
      <c r="M26" s="25">
        <f>+C26-H26</f>
        <v>0</v>
      </c>
      <c r="N26" s="25"/>
      <c r="O26" s="25">
        <f>+E26-J26</f>
        <v>0</v>
      </c>
      <c r="P26" s="26">
        <f>SUM(L26:O26)</f>
        <v>0</v>
      </c>
      <c r="Q26" s="18"/>
    </row>
    <row r="27" spans="1:17" ht="12.75" customHeight="1">
      <c r="A27" s="23" t="s">
        <v>21</v>
      </c>
      <c r="B27" s="25"/>
      <c r="C27" s="25"/>
      <c r="D27" s="25"/>
      <c r="E27" s="43"/>
      <c r="F27" s="24">
        <f>SUM(B27:E27)</f>
        <v>0</v>
      </c>
      <c r="G27" s="29"/>
      <c r="H27" s="29"/>
      <c r="I27" s="29"/>
      <c r="J27" s="29"/>
      <c r="K27" s="24">
        <f>SUM(G27:J27)</f>
        <v>0</v>
      </c>
      <c r="L27" s="25">
        <f>+B27-G27</f>
        <v>0</v>
      </c>
      <c r="M27" s="25">
        <f>+C27-H27</f>
        <v>0</v>
      </c>
      <c r="N27" s="25"/>
      <c r="O27" s="25">
        <f>+E27-J27</f>
        <v>0</v>
      </c>
      <c r="P27" s="26">
        <f>SUM(L27:O27)</f>
        <v>0</v>
      </c>
      <c r="Q27" s="18"/>
    </row>
    <row r="28" spans="1:17" ht="12.75" customHeight="1">
      <c r="A28" s="22"/>
      <c r="B28" s="25"/>
      <c r="C28" s="25"/>
      <c r="D28" s="25"/>
      <c r="E28" s="43"/>
      <c r="F28" s="24"/>
      <c r="G28" s="47"/>
      <c r="H28" s="47"/>
      <c r="I28" s="47"/>
      <c r="J28" s="47"/>
      <c r="K28" s="32"/>
      <c r="L28" s="25"/>
      <c r="M28" s="25"/>
      <c r="N28" s="25"/>
      <c r="O28" s="25"/>
      <c r="P28" s="26"/>
      <c r="Q28" s="18"/>
    </row>
    <row r="29" spans="1:17" ht="12.75" customHeight="1">
      <c r="A29" s="42" t="s">
        <v>168</v>
      </c>
      <c r="B29" s="17">
        <f t="shared" ref="B29:K29" si="16">+B30+B34</f>
        <v>23704</v>
      </c>
      <c r="C29" s="17">
        <f t="shared" si="16"/>
        <v>78434</v>
      </c>
      <c r="D29" s="17">
        <f t="shared" si="16"/>
        <v>0</v>
      </c>
      <c r="E29" s="17">
        <f t="shared" si="16"/>
        <v>1434</v>
      </c>
      <c r="F29" s="17">
        <f t="shared" si="16"/>
        <v>103572</v>
      </c>
      <c r="G29" s="17">
        <f t="shared" si="16"/>
        <v>17096</v>
      </c>
      <c r="H29" s="17">
        <f t="shared" si="16"/>
        <v>53237</v>
      </c>
      <c r="I29" s="17">
        <f t="shared" si="16"/>
        <v>0</v>
      </c>
      <c r="J29" s="17">
        <f t="shared" si="16"/>
        <v>1434</v>
      </c>
      <c r="K29" s="17">
        <f t="shared" si="16"/>
        <v>71767</v>
      </c>
      <c r="L29" s="17">
        <f>+L30+L34</f>
        <v>6608</v>
      </c>
      <c r="M29" s="17">
        <f>+M30+M34</f>
        <v>25197</v>
      </c>
      <c r="N29" s="17"/>
      <c r="O29" s="17">
        <f>+O30+O34</f>
        <v>0</v>
      </c>
      <c r="P29" s="17">
        <f>+P30+P34</f>
        <v>31805</v>
      </c>
      <c r="Q29" s="18">
        <f>+K29/F29</f>
        <v>0.69291893561966555</v>
      </c>
    </row>
    <row r="30" spans="1:17" ht="12.75" customHeight="1">
      <c r="A30" s="41" t="s">
        <v>15</v>
      </c>
      <c r="B30" s="62">
        <f t="shared" ref="B30:K30" si="17">+B31+B32+B33</f>
        <v>23704</v>
      </c>
      <c r="C30" s="62">
        <f t="shared" si="17"/>
        <v>60269</v>
      </c>
      <c r="D30" s="62">
        <f t="shared" si="17"/>
        <v>0</v>
      </c>
      <c r="E30" s="62">
        <f t="shared" si="17"/>
        <v>0</v>
      </c>
      <c r="F30" s="62">
        <f t="shared" si="17"/>
        <v>83973</v>
      </c>
      <c r="G30" s="62">
        <f t="shared" si="17"/>
        <v>17096</v>
      </c>
      <c r="H30" s="62">
        <f t="shared" si="17"/>
        <v>35072</v>
      </c>
      <c r="I30" s="62">
        <f t="shared" si="17"/>
        <v>0</v>
      </c>
      <c r="J30" s="62">
        <f t="shared" si="17"/>
        <v>0</v>
      </c>
      <c r="K30" s="62">
        <f t="shared" si="17"/>
        <v>52168</v>
      </c>
      <c r="L30" s="62">
        <f>+L31+L32+L33</f>
        <v>6608</v>
      </c>
      <c r="M30" s="62">
        <f>+M31+M32+M33</f>
        <v>25197</v>
      </c>
      <c r="N30" s="62"/>
      <c r="O30" s="62">
        <f>+O31+O32+O33</f>
        <v>0</v>
      </c>
      <c r="P30" s="17">
        <f>+P31+P32+P33</f>
        <v>31805</v>
      </c>
      <c r="Q30" s="18"/>
    </row>
    <row r="31" spans="1:17" ht="12.75" customHeight="1">
      <c r="A31" s="22" t="s">
        <v>16</v>
      </c>
      <c r="B31" s="25">
        <v>21558</v>
      </c>
      <c r="C31" s="25">
        <v>60269</v>
      </c>
      <c r="D31" s="25"/>
      <c r="E31" s="43"/>
      <c r="F31" s="24">
        <f>SUM(B31:E31)</f>
        <v>81827</v>
      </c>
      <c r="G31" s="29">
        <v>15633</v>
      </c>
      <c r="H31" s="29">
        <v>35072</v>
      </c>
      <c r="I31" s="29"/>
      <c r="J31" s="29"/>
      <c r="K31" s="24">
        <f>SUM(G31:J31)</f>
        <v>50705</v>
      </c>
      <c r="L31" s="25">
        <f t="shared" ref="L31:M33" si="18">+B31-G31</f>
        <v>5925</v>
      </c>
      <c r="M31" s="25">
        <f t="shared" si="18"/>
        <v>25197</v>
      </c>
      <c r="N31" s="25"/>
      <c r="O31" s="25">
        <f>+E31-J31</f>
        <v>0</v>
      </c>
      <c r="P31" s="26">
        <f>SUM(L31:O31)</f>
        <v>31122</v>
      </c>
      <c r="Q31" s="18"/>
    </row>
    <row r="32" spans="1:17" ht="12.75" customHeight="1">
      <c r="A32" s="22" t="s">
        <v>17</v>
      </c>
      <c r="B32" s="25">
        <v>140</v>
      </c>
      <c r="C32" s="25"/>
      <c r="D32" s="25"/>
      <c r="E32" s="43"/>
      <c r="F32" s="24">
        <f>SUM(B32:E32)</f>
        <v>140</v>
      </c>
      <c r="G32" s="29">
        <v>140</v>
      </c>
      <c r="H32" s="34"/>
      <c r="I32" s="34"/>
      <c r="J32" s="34"/>
      <c r="K32" s="24">
        <f>SUM(G32:J32)</f>
        <v>140</v>
      </c>
      <c r="L32" s="25">
        <f t="shared" si="18"/>
        <v>0</v>
      </c>
      <c r="M32" s="25">
        <f t="shared" si="18"/>
        <v>0</v>
      </c>
      <c r="N32" s="25"/>
      <c r="O32" s="25">
        <f>+E32-J32</f>
        <v>0</v>
      </c>
      <c r="P32" s="26">
        <f>SUM(L32:O32)</f>
        <v>0</v>
      </c>
      <c r="Q32" s="18"/>
    </row>
    <row r="33" spans="1:30" ht="12.75" customHeight="1">
      <c r="A33" s="22" t="s">
        <v>18</v>
      </c>
      <c r="B33" s="25">
        <v>2006</v>
      </c>
      <c r="C33" s="25"/>
      <c r="D33" s="25"/>
      <c r="E33" s="43"/>
      <c r="F33" s="24">
        <f>SUM(B33:E33)</f>
        <v>2006</v>
      </c>
      <c r="G33" s="29">
        <v>1323</v>
      </c>
      <c r="H33" s="34"/>
      <c r="I33" s="34"/>
      <c r="J33" s="34"/>
      <c r="K33" s="24">
        <f>SUM(G33:J33)</f>
        <v>1323</v>
      </c>
      <c r="L33" s="25">
        <f t="shared" si="18"/>
        <v>683</v>
      </c>
      <c r="M33" s="25">
        <f t="shared" si="18"/>
        <v>0</v>
      </c>
      <c r="N33" s="25"/>
      <c r="O33" s="25">
        <f>+E33-J33</f>
        <v>0</v>
      </c>
      <c r="P33" s="26">
        <f>SUM(L33:O33)</f>
        <v>683</v>
      </c>
      <c r="Q33" s="18"/>
    </row>
    <row r="34" spans="1:30" ht="12.75" customHeight="1">
      <c r="A34" s="22" t="s">
        <v>19</v>
      </c>
      <c r="B34" s="44">
        <f t="shared" ref="B34:K34" si="19">+B35+B36</f>
        <v>0</v>
      </c>
      <c r="C34" s="44">
        <f t="shared" si="19"/>
        <v>18165</v>
      </c>
      <c r="D34" s="44">
        <f t="shared" si="19"/>
        <v>0</v>
      </c>
      <c r="E34" s="44">
        <f t="shared" si="19"/>
        <v>1434</v>
      </c>
      <c r="F34" s="44">
        <f t="shared" si="19"/>
        <v>19599</v>
      </c>
      <c r="G34" s="44">
        <f t="shared" si="19"/>
        <v>0</v>
      </c>
      <c r="H34" s="44">
        <f t="shared" si="19"/>
        <v>18165</v>
      </c>
      <c r="I34" s="44">
        <f t="shared" si="19"/>
        <v>0</v>
      </c>
      <c r="J34" s="44">
        <f t="shared" si="19"/>
        <v>1434</v>
      </c>
      <c r="K34" s="44">
        <f t="shared" si="19"/>
        <v>19599</v>
      </c>
      <c r="L34" s="44">
        <f>+L35+L36</f>
        <v>0</v>
      </c>
      <c r="M34" s="44">
        <f>+M35+M36</f>
        <v>0</v>
      </c>
      <c r="N34" s="44"/>
      <c r="O34" s="44">
        <f>+O35+O36</f>
        <v>0</v>
      </c>
      <c r="P34" s="45">
        <f>+P35+P36</f>
        <v>0</v>
      </c>
      <c r="Q34" s="18"/>
    </row>
    <row r="35" spans="1:30" ht="12.75" customHeight="1">
      <c r="A35" s="23" t="s">
        <v>20</v>
      </c>
      <c r="B35" s="25"/>
      <c r="C35" s="25">
        <v>18165</v>
      </c>
      <c r="D35" s="25"/>
      <c r="E35" s="43">
        <v>1434</v>
      </c>
      <c r="F35" s="24">
        <f>SUM(B35:E35)</f>
        <v>19599</v>
      </c>
      <c r="G35" s="29"/>
      <c r="H35" s="29">
        <v>18165</v>
      </c>
      <c r="I35" s="29"/>
      <c r="J35" s="29">
        <v>1434</v>
      </c>
      <c r="K35" s="24">
        <f>SUM(G35:J35)</f>
        <v>19599</v>
      </c>
      <c r="L35" s="25">
        <f>+B35-G35</f>
        <v>0</v>
      </c>
      <c r="M35" s="25">
        <f>+C35-H35</f>
        <v>0</v>
      </c>
      <c r="N35" s="25"/>
      <c r="O35" s="25">
        <f>+E35-J35</f>
        <v>0</v>
      </c>
      <c r="P35" s="26">
        <f>SUM(L35:O35)</f>
        <v>0</v>
      </c>
      <c r="Q35" s="18"/>
    </row>
    <row r="36" spans="1:30" ht="12.75" customHeight="1">
      <c r="A36" s="23" t="s">
        <v>21</v>
      </c>
      <c r="B36" s="25"/>
      <c r="C36" s="25"/>
      <c r="D36" s="25"/>
      <c r="E36" s="43"/>
      <c r="F36" s="24">
        <f>SUM(B36:E36)</f>
        <v>0</v>
      </c>
      <c r="G36" s="29"/>
      <c r="H36" s="29"/>
      <c r="I36" s="29"/>
      <c r="J36" s="29"/>
      <c r="K36" s="24">
        <f>SUM(G36:J36)</f>
        <v>0</v>
      </c>
      <c r="L36" s="25">
        <f>+B36-G36</f>
        <v>0</v>
      </c>
      <c r="M36" s="25">
        <f>+C36-H36</f>
        <v>0</v>
      </c>
      <c r="N36" s="25"/>
      <c r="O36" s="25">
        <f>+E36-J36</f>
        <v>0</v>
      </c>
      <c r="P36" s="26">
        <f>SUM(L36:O36)</f>
        <v>0</v>
      </c>
      <c r="Q36" s="18"/>
    </row>
    <row r="37" spans="1:30" ht="12.75" customHeight="1">
      <c r="A37" s="22"/>
      <c r="B37" s="25"/>
      <c r="C37" s="25"/>
      <c r="D37" s="25"/>
      <c r="E37" s="43"/>
      <c r="F37" s="24"/>
      <c r="G37" s="47"/>
      <c r="H37" s="47"/>
      <c r="I37" s="47"/>
      <c r="J37" s="47"/>
      <c r="K37" s="32"/>
      <c r="L37" s="25"/>
      <c r="M37" s="25"/>
      <c r="N37" s="25"/>
      <c r="O37" s="25"/>
      <c r="P37" s="26"/>
      <c r="Q37" s="18"/>
    </row>
    <row r="38" spans="1:30" ht="12.75" customHeight="1">
      <c r="A38" s="42" t="s">
        <v>169</v>
      </c>
      <c r="B38" s="17">
        <f t="shared" ref="B38:K38" si="20">+B39+B43</f>
        <v>31479</v>
      </c>
      <c r="C38" s="17">
        <f t="shared" si="20"/>
        <v>54921</v>
      </c>
      <c r="D38" s="17">
        <f t="shared" si="20"/>
        <v>0</v>
      </c>
      <c r="E38" s="17">
        <f t="shared" si="20"/>
        <v>5944</v>
      </c>
      <c r="F38" s="17">
        <f t="shared" si="20"/>
        <v>92344</v>
      </c>
      <c r="G38" s="17">
        <f t="shared" si="20"/>
        <v>31479</v>
      </c>
      <c r="H38" s="17">
        <f t="shared" si="20"/>
        <v>45696</v>
      </c>
      <c r="I38" s="17">
        <f t="shared" si="20"/>
        <v>0</v>
      </c>
      <c r="J38" s="17">
        <f t="shared" si="20"/>
        <v>5364</v>
      </c>
      <c r="K38" s="17">
        <f t="shared" si="20"/>
        <v>82539</v>
      </c>
      <c r="L38" s="17">
        <f>+L39+L43</f>
        <v>0</v>
      </c>
      <c r="M38" s="17">
        <f>+M39+M43</f>
        <v>9225</v>
      </c>
      <c r="N38" s="17"/>
      <c r="O38" s="17">
        <f>+O39+O43</f>
        <v>580</v>
      </c>
      <c r="P38" s="17">
        <f>+P39+P43</f>
        <v>9805</v>
      </c>
      <c r="Q38" s="18">
        <f>+K38/F38</f>
        <v>0.89382093043402933</v>
      </c>
    </row>
    <row r="39" spans="1:30" ht="12.75" customHeight="1">
      <c r="A39" s="41" t="s">
        <v>15</v>
      </c>
      <c r="B39" s="62">
        <f t="shared" ref="B39:K39" si="21">+B40+B41+B42</f>
        <v>31479</v>
      </c>
      <c r="C39" s="62">
        <f t="shared" si="21"/>
        <v>54619</v>
      </c>
      <c r="D39" s="62">
        <f t="shared" si="21"/>
        <v>0</v>
      </c>
      <c r="E39" s="62">
        <f t="shared" si="21"/>
        <v>5944</v>
      </c>
      <c r="F39" s="62">
        <f t="shared" si="21"/>
        <v>92042</v>
      </c>
      <c r="G39" s="62">
        <f t="shared" si="21"/>
        <v>31479</v>
      </c>
      <c r="H39" s="62">
        <f t="shared" si="21"/>
        <v>45696</v>
      </c>
      <c r="I39" s="62">
        <f t="shared" si="21"/>
        <v>0</v>
      </c>
      <c r="J39" s="62">
        <f t="shared" si="21"/>
        <v>5364</v>
      </c>
      <c r="K39" s="62">
        <f t="shared" si="21"/>
        <v>82539</v>
      </c>
      <c r="L39" s="62">
        <f>+L40+L41+L42</f>
        <v>0</v>
      </c>
      <c r="M39" s="62">
        <f>+M40+M41+M42</f>
        <v>8923</v>
      </c>
      <c r="N39" s="62"/>
      <c r="O39" s="62">
        <f>+O40+O41+O42</f>
        <v>580</v>
      </c>
      <c r="P39" s="17">
        <f>+P40+P41+P42</f>
        <v>9503</v>
      </c>
      <c r="Q39" s="18"/>
    </row>
    <row r="40" spans="1:30" ht="12.75" customHeight="1">
      <c r="A40" s="22" t="s">
        <v>16</v>
      </c>
      <c r="B40" s="25">
        <v>25712</v>
      </c>
      <c r="C40" s="25">
        <v>51930</v>
      </c>
      <c r="D40" s="25"/>
      <c r="E40" s="43">
        <v>5944</v>
      </c>
      <c r="F40" s="24">
        <f>SUM(B40:E40)</f>
        <v>83586</v>
      </c>
      <c r="G40" s="29">
        <f>9711+23222-3255-2512-1454</f>
        <v>25712</v>
      </c>
      <c r="H40" s="29">
        <f>6734+18901+9249+9358+1454</f>
        <v>45696</v>
      </c>
      <c r="I40" s="29"/>
      <c r="J40" s="29">
        <f>7+4270+1087</f>
        <v>5364</v>
      </c>
      <c r="K40" s="24">
        <f t="shared" ref="K40:K45" si="22">SUM(G40:J40)</f>
        <v>76772</v>
      </c>
      <c r="L40" s="25">
        <f t="shared" ref="L40:M42" si="23">+B40-G40</f>
        <v>0</v>
      </c>
      <c r="M40" s="25">
        <f t="shared" si="23"/>
        <v>6234</v>
      </c>
      <c r="N40" s="25"/>
      <c r="O40" s="25">
        <f>+E40-J40</f>
        <v>580</v>
      </c>
      <c r="P40" s="26">
        <f>SUM(L40:O40)</f>
        <v>6814</v>
      </c>
      <c r="Q40" s="18"/>
    </row>
    <row r="41" spans="1:30" ht="12.75" customHeight="1">
      <c r="A41" s="22" t="s">
        <v>17</v>
      </c>
      <c r="B41" s="25">
        <v>3255</v>
      </c>
      <c r="C41" s="25"/>
      <c r="D41" s="25"/>
      <c r="E41" s="43"/>
      <c r="F41" s="24">
        <f>SUM(B41:E41)</f>
        <v>3255</v>
      </c>
      <c r="G41" s="29">
        <v>3255</v>
      </c>
      <c r="H41" s="34"/>
      <c r="I41" s="34"/>
      <c r="J41" s="34"/>
      <c r="K41" s="24">
        <f t="shared" si="22"/>
        <v>3255</v>
      </c>
      <c r="L41" s="25">
        <f t="shared" si="23"/>
        <v>0</v>
      </c>
      <c r="M41" s="25">
        <f t="shared" si="23"/>
        <v>0</v>
      </c>
      <c r="N41" s="25"/>
      <c r="O41" s="25">
        <f>+E41-J41</f>
        <v>0</v>
      </c>
      <c r="P41" s="26">
        <f>SUM(L41:O41)</f>
        <v>0</v>
      </c>
      <c r="Q41" s="18"/>
    </row>
    <row r="42" spans="1:30" ht="12.75" customHeight="1">
      <c r="A42" s="22" t="s">
        <v>18</v>
      </c>
      <c r="B42" s="25">
        <v>2512</v>
      </c>
      <c r="C42" s="25">
        <v>2689</v>
      </c>
      <c r="D42" s="25"/>
      <c r="E42" s="43"/>
      <c r="F42" s="24">
        <f>SUM(B42:E42)</f>
        <v>5201</v>
      </c>
      <c r="G42" s="29">
        <v>2512</v>
      </c>
      <c r="H42" s="29"/>
      <c r="I42" s="29"/>
      <c r="J42" s="29"/>
      <c r="K42" s="24">
        <f t="shared" si="22"/>
        <v>2512</v>
      </c>
      <c r="L42" s="25">
        <f t="shared" si="23"/>
        <v>0</v>
      </c>
      <c r="M42" s="25">
        <f t="shared" si="23"/>
        <v>2689</v>
      </c>
      <c r="N42" s="25"/>
      <c r="O42" s="25">
        <f>+E42-J42</f>
        <v>0</v>
      </c>
      <c r="P42" s="26">
        <f>SUM(L42:O42)</f>
        <v>2689</v>
      </c>
      <c r="Q42" s="18"/>
    </row>
    <row r="43" spans="1:30" ht="12.75" customHeight="1">
      <c r="A43" s="22" t="s">
        <v>19</v>
      </c>
      <c r="B43" s="44">
        <f t="shared" ref="B43:K43" si="24">+B44+B45</f>
        <v>0</v>
      </c>
      <c r="C43" s="44">
        <f t="shared" si="24"/>
        <v>302</v>
      </c>
      <c r="D43" s="44">
        <f t="shared" si="24"/>
        <v>0</v>
      </c>
      <c r="E43" s="44">
        <f t="shared" si="24"/>
        <v>0</v>
      </c>
      <c r="F43" s="44">
        <f t="shared" si="24"/>
        <v>302</v>
      </c>
      <c r="G43" s="44">
        <f t="shared" si="24"/>
        <v>0</v>
      </c>
      <c r="H43" s="44">
        <f t="shared" si="24"/>
        <v>0</v>
      </c>
      <c r="I43" s="44">
        <f t="shared" si="24"/>
        <v>0</v>
      </c>
      <c r="J43" s="44">
        <f t="shared" si="24"/>
        <v>0</v>
      </c>
      <c r="K43" s="44">
        <f t="shared" si="24"/>
        <v>0</v>
      </c>
      <c r="L43" s="44">
        <f>+L44+L45</f>
        <v>0</v>
      </c>
      <c r="M43" s="44">
        <f>+M44+M45</f>
        <v>302</v>
      </c>
      <c r="N43" s="44"/>
      <c r="O43" s="44">
        <f>+O44+O45</f>
        <v>0</v>
      </c>
      <c r="P43" s="45">
        <f>+P44+P45</f>
        <v>302</v>
      </c>
      <c r="Q43" s="18"/>
    </row>
    <row r="44" spans="1:30" ht="12.75" customHeight="1">
      <c r="A44" s="23" t="s">
        <v>20</v>
      </c>
      <c r="B44" s="25"/>
      <c r="C44" s="25">
        <v>302</v>
      </c>
      <c r="D44" s="25"/>
      <c r="E44" s="43"/>
      <c r="F44" s="24">
        <f>SUM(B44:E44)</f>
        <v>302</v>
      </c>
      <c r="G44" s="29"/>
      <c r="H44" s="29"/>
      <c r="I44" s="29"/>
      <c r="J44" s="29"/>
      <c r="K44" s="24">
        <f t="shared" si="22"/>
        <v>0</v>
      </c>
      <c r="L44" s="25">
        <f>+B44-G44</f>
        <v>0</v>
      </c>
      <c r="M44" s="25">
        <f>+C44-H44</f>
        <v>302</v>
      </c>
      <c r="N44" s="25"/>
      <c r="O44" s="25">
        <f>+E44-J44</f>
        <v>0</v>
      </c>
      <c r="P44" s="26">
        <f>SUM(L44:O44)</f>
        <v>302</v>
      </c>
      <c r="Q44" s="18"/>
    </row>
    <row r="45" spans="1:30" ht="12.75" customHeight="1">
      <c r="A45" s="23" t="s">
        <v>21</v>
      </c>
      <c r="B45" s="25"/>
      <c r="C45" s="25"/>
      <c r="D45" s="25"/>
      <c r="E45" s="43"/>
      <c r="F45" s="24">
        <f>SUM(B45:E45)</f>
        <v>0</v>
      </c>
      <c r="G45" s="29"/>
      <c r="H45" s="29"/>
      <c r="I45" s="29"/>
      <c r="J45" s="29"/>
      <c r="K45" s="24">
        <f t="shared" si="22"/>
        <v>0</v>
      </c>
      <c r="L45" s="25">
        <f>+B45-G45</f>
        <v>0</v>
      </c>
      <c r="M45" s="25">
        <f>+C45-H45</f>
        <v>0</v>
      </c>
      <c r="N45" s="25"/>
      <c r="O45" s="25">
        <f>+E45-J45</f>
        <v>0</v>
      </c>
      <c r="P45" s="26">
        <f>SUM(L45:O45)</f>
        <v>0</v>
      </c>
      <c r="Q45" s="18"/>
    </row>
    <row r="46" spans="1:30" ht="12.75" customHeight="1">
      <c r="A46" s="22"/>
      <c r="B46" s="25"/>
      <c r="C46" s="25"/>
      <c r="D46" s="25"/>
      <c r="E46" s="43"/>
      <c r="F46" s="24"/>
      <c r="G46" s="47"/>
      <c r="H46" s="47"/>
      <c r="I46" s="47"/>
      <c r="J46" s="47"/>
      <c r="K46" s="32"/>
      <c r="L46" s="25"/>
      <c r="M46" s="25"/>
      <c r="N46" s="25"/>
      <c r="O46" s="25"/>
      <c r="P46" s="26"/>
      <c r="Q46" s="18"/>
    </row>
    <row r="47" spans="1:30" ht="12.75" customHeight="1">
      <c r="A47" s="42" t="s">
        <v>170</v>
      </c>
      <c r="B47" s="17">
        <f t="shared" ref="B47:K47" si="25">+B48+B52+B53</f>
        <v>305796</v>
      </c>
      <c r="C47" s="17">
        <f t="shared" si="25"/>
        <v>8894462</v>
      </c>
      <c r="D47" s="17">
        <f t="shared" si="25"/>
        <v>0</v>
      </c>
      <c r="E47" s="17">
        <f t="shared" si="25"/>
        <v>639458</v>
      </c>
      <c r="F47" s="17">
        <f t="shared" si="25"/>
        <v>9839716</v>
      </c>
      <c r="G47" s="17">
        <f t="shared" si="25"/>
        <v>292927</v>
      </c>
      <c r="H47" s="17">
        <f t="shared" si="25"/>
        <v>5290070</v>
      </c>
      <c r="I47" s="17">
        <f t="shared" si="25"/>
        <v>0</v>
      </c>
      <c r="J47" s="17">
        <f t="shared" si="25"/>
        <v>84235</v>
      </c>
      <c r="K47" s="17">
        <f t="shared" si="25"/>
        <v>5667232</v>
      </c>
      <c r="L47" s="17">
        <f t="shared" ref="L47:P47" si="26">+L48+L52+L53</f>
        <v>12869</v>
      </c>
      <c r="M47" s="17">
        <f t="shared" si="26"/>
        <v>3604392</v>
      </c>
      <c r="N47" s="17"/>
      <c r="O47" s="17">
        <f t="shared" si="26"/>
        <v>555223</v>
      </c>
      <c r="P47" s="17">
        <f t="shared" si="26"/>
        <v>4172484</v>
      </c>
      <c r="Q47" s="18">
        <f>+K47/F47</f>
        <v>0.57595483446879969</v>
      </c>
      <c r="AA47" s="5">
        <v>6260</v>
      </c>
      <c r="AB47" s="5">
        <v>28479</v>
      </c>
      <c r="AC47" s="5">
        <v>49</v>
      </c>
      <c r="AD47" s="5">
        <v>34788</v>
      </c>
    </row>
    <row r="48" spans="1:30" ht="12.75" customHeight="1">
      <c r="A48" s="41" t="s">
        <v>15</v>
      </c>
      <c r="B48" s="62">
        <f t="shared" ref="B48:K48" si="27">+B49+B50+B51</f>
        <v>305796</v>
      </c>
      <c r="C48" s="62">
        <f t="shared" si="27"/>
        <v>7456471</v>
      </c>
      <c r="D48" s="62">
        <f t="shared" si="27"/>
        <v>0</v>
      </c>
      <c r="E48" s="62">
        <f t="shared" si="27"/>
        <v>604713</v>
      </c>
      <c r="F48" s="62">
        <f t="shared" si="27"/>
        <v>8366980</v>
      </c>
      <c r="G48" s="62">
        <f t="shared" si="27"/>
        <v>292927</v>
      </c>
      <c r="H48" s="62">
        <f t="shared" si="27"/>
        <v>3906864</v>
      </c>
      <c r="I48" s="62">
        <f t="shared" si="27"/>
        <v>0</v>
      </c>
      <c r="J48" s="62">
        <f t="shared" si="27"/>
        <v>81772</v>
      </c>
      <c r="K48" s="62">
        <f t="shared" si="27"/>
        <v>4281563</v>
      </c>
      <c r="L48" s="62">
        <f>+L49+L50+L51</f>
        <v>12869</v>
      </c>
      <c r="M48" s="62">
        <f>+M49+M50+M51</f>
        <v>3549607</v>
      </c>
      <c r="N48" s="62"/>
      <c r="O48" s="62">
        <f>+O49+O50+O51</f>
        <v>522941</v>
      </c>
      <c r="P48" s="17">
        <f>+P49+P50+P51</f>
        <v>4085417</v>
      </c>
      <c r="Q48" s="18"/>
      <c r="AA48" s="5">
        <v>6260</v>
      </c>
      <c r="AB48" s="5">
        <v>28479</v>
      </c>
      <c r="AC48" s="5">
        <v>49</v>
      </c>
      <c r="AD48" s="5">
        <v>34788</v>
      </c>
    </row>
    <row r="49" spans="1:30" ht="12.75" customHeight="1">
      <c r="A49" s="22" t="s">
        <v>16</v>
      </c>
      <c r="B49" s="25">
        <v>256316</v>
      </c>
      <c r="C49" s="25">
        <v>6156272</v>
      </c>
      <c r="D49" s="25"/>
      <c r="E49" s="43">
        <v>528453</v>
      </c>
      <c r="F49" s="26">
        <f>SUM(B49:E49)</f>
        <v>6941041</v>
      </c>
      <c r="G49" s="29">
        <v>246521</v>
      </c>
      <c r="H49" s="29">
        <v>2771036</v>
      </c>
      <c r="I49" s="29"/>
      <c r="J49" s="29">
        <v>10023</v>
      </c>
      <c r="K49" s="24">
        <f>SUM(G49:J49)</f>
        <v>3027580</v>
      </c>
      <c r="L49" s="25">
        <f t="shared" ref="L49:M52" si="28">+B49-G49</f>
        <v>9795</v>
      </c>
      <c r="M49" s="25">
        <f t="shared" si="28"/>
        <v>3385236</v>
      </c>
      <c r="N49" s="25"/>
      <c r="O49" s="25">
        <f>+E49-J49</f>
        <v>518430</v>
      </c>
      <c r="P49" s="26">
        <f>SUM(L49:O49)</f>
        <v>3913461</v>
      </c>
      <c r="Q49" s="18"/>
      <c r="AA49" s="5">
        <v>6001</v>
      </c>
      <c r="AB49" s="5">
        <v>5815</v>
      </c>
      <c r="AC49" s="5">
        <v>49</v>
      </c>
      <c r="AD49" s="5">
        <v>11865</v>
      </c>
    </row>
    <row r="50" spans="1:30" ht="12.75" customHeight="1">
      <c r="A50" s="22" t="s">
        <v>17</v>
      </c>
      <c r="B50" s="25">
        <v>25714</v>
      </c>
      <c r="C50" s="25"/>
      <c r="D50" s="25"/>
      <c r="E50" s="43"/>
      <c r="F50" s="26">
        <f>SUM(B50:E50)</f>
        <v>25714</v>
      </c>
      <c r="G50" s="29">
        <v>24708</v>
      </c>
      <c r="H50" s="29"/>
      <c r="I50" s="29"/>
      <c r="J50" s="29"/>
      <c r="K50" s="24">
        <f>SUM(G50:J50)</f>
        <v>24708</v>
      </c>
      <c r="L50" s="25">
        <f t="shared" si="28"/>
        <v>1006</v>
      </c>
      <c r="M50" s="25">
        <f t="shared" si="28"/>
        <v>0</v>
      </c>
      <c r="N50" s="25"/>
      <c r="O50" s="25">
        <f>+E50-J50</f>
        <v>0</v>
      </c>
      <c r="P50" s="26">
        <f>SUM(L50:O50)</f>
        <v>1006</v>
      </c>
      <c r="Q50" s="18"/>
      <c r="AD50" s="5">
        <v>0</v>
      </c>
    </row>
    <row r="51" spans="1:30" ht="12.75" customHeight="1">
      <c r="A51" s="22" t="s">
        <v>18</v>
      </c>
      <c r="B51" s="25">
        <v>23766</v>
      </c>
      <c r="C51" s="25">
        <v>1300199</v>
      </c>
      <c r="D51" s="25"/>
      <c r="E51" s="43">
        <v>76260</v>
      </c>
      <c r="F51" s="26">
        <f>SUM(B51:E51)</f>
        <v>1400225</v>
      </c>
      <c r="G51" s="29">
        <v>21698</v>
      </c>
      <c r="H51" s="29">
        <f>1120825+15003</f>
        <v>1135828</v>
      </c>
      <c r="I51" s="29"/>
      <c r="J51" s="29">
        <f>60852+10897</f>
        <v>71749</v>
      </c>
      <c r="K51" s="24">
        <f>SUM(G51:J51)</f>
        <v>1229275</v>
      </c>
      <c r="L51" s="25">
        <f t="shared" si="28"/>
        <v>2068</v>
      </c>
      <c r="M51" s="25">
        <f t="shared" si="28"/>
        <v>164371</v>
      </c>
      <c r="N51" s="25"/>
      <c r="O51" s="25">
        <f>+E51-J51</f>
        <v>4511</v>
      </c>
      <c r="P51" s="26">
        <f>SUM(L51:O51)</f>
        <v>170950</v>
      </c>
      <c r="Q51" s="18"/>
      <c r="AA51" s="5">
        <v>259</v>
      </c>
      <c r="AB51" s="5">
        <v>22664</v>
      </c>
      <c r="AD51" s="5">
        <v>22923</v>
      </c>
    </row>
    <row r="52" spans="1:30" ht="12.75" customHeight="1">
      <c r="A52" s="22" t="s">
        <v>30</v>
      </c>
      <c r="B52" s="25"/>
      <c r="C52" s="25"/>
      <c r="D52" s="25"/>
      <c r="E52" s="43">
        <v>25500</v>
      </c>
      <c r="F52" s="26">
        <f>SUM(B52:E52)</f>
        <v>25500</v>
      </c>
      <c r="G52" s="29"/>
      <c r="H52" s="29"/>
      <c r="I52" s="29"/>
      <c r="J52" s="29">
        <v>500</v>
      </c>
      <c r="K52" s="24">
        <f>SUM(G52:J52)</f>
        <v>500</v>
      </c>
      <c r="L52" s="25">
        <f t="shared" si="28"/>
        <v>0</v>
      </c>
      <c r="M52" s="25">
        <f t="shared" si="28"/>
        <v>0</v>
      </c>
      <c r="N52" s="25"/>
      <c r="O52" s="25">
        <f>+E52-J52</f>
        <v>25000</v>
      </c>
      <c r="P52" s="26">
        <f>SUM(L52:O52)</f>
        <v>25000</v>
      </c>
      <c r="Q52" s="18"/>
      <c r="AD52" s="5">
        <v>0</v>
      </c>
    </row>
    <row r="53" spans="1:30" ht="12.75" customHeight="1">
      <c r="A53" s="22" t="s">
        <v>19</v>
      </c>
      <c r="B53" s="44">
        <f t="shared" ref="B53:K53" si="29">+B54+B55</f>
        <v>0</v>
      </c>
      <c r="C53" s="44">
        <f t="shared" si="29"/>
        <v>1437991</v>
      </c>
      <c r="D53" s="44">
        <f t="shared" si="29"/>
        <v>0</v>
      </c>
      <c r="E53" s="44">
        <f t="shared" si="29"/>
        <v>9245</v>
      </c>
      <c r="F53" s="44">
        <f t="shared" si="29"/>
        <v>1447236</v>
      </c>
      <c r="G53" s="44">
        <f t="shared" si="29"/>
        <v>0</v>
      </c>
      <c r="H53" s="44">
        <f t="shared" si="29"/>
        <v>1383206</v>
      </c>
      <c r="I53" s="44">
        <f t="shared" si="29"/>
        <v>0</v>
      </c>
      <c r="J53" s="44">
        <f t="shared" si="29"/>
        <v>1963</v>
      </c>
      <c r="K53" s="44">
        <f t="shared" si="29"/>
        <v>1385169</v>
      </c>
      <c r="L53" s="44">
        <f>+L54+L55</f>
        <v>0</v>
      </c>
      <c r="M53" s="44">
        <f>+M54+M55</f>
        <v>54785</v>
      </c>
      <c r="N53" s="44"/>
      <c r="O53" s="44">
        <f>+O54+O55</f>
        <v>7282</v>
      </c>
      <c r="P53" s="45">
        <f>+P54+P55</f>
        <v>62067</v>
      </c>
      <c r="Q53" s="18"/>
    </row>
    <row r="54" spans="1:30" ht="12.75" customHeight="1">
      <c r="A54" s="23" t="s">
        <v>20</v>
      </c>
      <c r="B54" s="25"/>
      <c r="C54" s="25">
        <v>1437991</v>
      </c>
      <c r="D54" s="25"/>
      <c r="E54" s="43">
        <v>9245</v>
      </c>
      <c r="F54" s="26">
        <f>SUM(B54:E54)</f>
        <v>1447236</v>
      </c>
      <c r="G54" s="29"/>
      <c r="H54" s="29">
        <f>1370142+13064</f>
        <v>1383206</v>
      </c>
      <c r="I54" s="29"/>
      <c r="J54" s="29">
        <v>1963</v>
      </c>
      <c r="K54" s="24">
        <f>SUM(G54:J54)</f>
        <v>1385169</v>
      </c>
      <c r="L54" s="25">
        <f>+B54-G54</f>
        <v>0</v>
      </c>
      <c r="M54" s="25">
        <f>+C54-H54</f>
        <v>54785</v>
      </c>
      <c r="N54" s="25"/>
      <c r="O54" s="25">
        <f>+E54-J54</f>
        <v>7282</v>
      </c>
      <c r="P54" s="26">
        <f>SUM(L54:O54)</f>
        <v>62067</v>
      </c>
      <c r="Q54" s="18"/>
    </row>
    <row r="55" spans="1:30" ht="12.75" customHeight="1">
      <c r="A55" s="23" t="s">
        <v>21</v>
      </c>
      <c r="B55" s="25"/>
      <c r="C55" s="25"/>
      <c r="D55" s="25"/>
      <c r="E55" s="43"/>
      <c r="F55" s="26">
        <f>SUM(B55:E55)</f>
        <v>0</v>
      </c>
      <c r="G55" s="29"/>
      <c r="H55" s="29"/>
      <c r="I55" s="29"/>
      <c r="J55" s="29"/>
      <c r="K55" s="24">
        <f>SUM(G55:J55)</f>
        <v>0</v>
      </c>
      <c r="L55" s="25">
        <f>+B55-G55</f>
        <v>0</v>
      </c>
      <c r="M55" s="25">
        <f>+C55-H55</f>
        <v>0</v>
      </c>
      <c r="N55" s="25"/>
      <c r="O55" s="25">
        <f>+E55-J55</f>
        <v>0</v>
      </c>
      <c r="P55" s="26">
        <f>SUM(L55:O55)</f>
        <v>0</v>
      </c>
      <c r="Q55" s="18"/>
    </row>
    <row r="56" spans="1:30" ht="12.75" customHeight="1">
      <c r="A56" s="65"/>
      <c r="B56" s="44"/>
      <c r="C56" s="44"/>
      <c r="D56" s="44"/>
      <c r="E56" s="45"/>
      <c r="F56" s="77"/>
      <c r="G56" s="40"/>
      <c r="H56" s="74"/>
      <c r="I56" s="84"/>
      <c r="J56" s="84"/>
      <c r="K56" s="82"/>
      <c r="L56" s="44"/>
      <c r="M56" s="44"/>
      <c r="N56" s="44"/>
      <c r="O56" s="44"/>
      <c r="P56" s="75"/>
      <c r="Q56" s="76"/>
    </row>
    <row r="57" spans="1:30" ht="12.75" customHeight="1">
      <c r="A57" s="42" t="s">
        <v>171</v>
      </c>
      <c r="B57" s="17">
        <f t="shared" ref="B57:K57" si="30">+B58+B62</f>
        <v>33895</v>
      </c>
      <c r="C57" s="17">
        <f t="shared" si="30"/>
        <v>19406</v>
      </c>
      <c r="D57" s="17">
        <f t="shared" si="30"/>
        <v>0</v>
      </c>
      <c r="E57" s="17">
        <f t="shared" si="30"/>
        <v>1000</v>
      </c>
      <c r="F57" s="17">
        <f t="shared" si="30"/>
        <v>54301</v>
      </c>
      <c r="G57" s="17">
        <f t="shared" si="30"/>
        <v>30985.244999999999</v>
      </c>
      <c r="H57" s="17">
        <f t="shared" si="30"/>
        <v>17415.562000000002</v>
      </c>
      <c r="I57" s="17">
        <f t="shared" si="30"/>
        <v>0</v>
      </c>
      <c r="J57" s="17">
        <f t="shared" si="30"/>
        <v>939</v>
      </c>
      <c r="K57" s="17">
        <f t="shared" si="30"/>
        <v>49339.807000000001</v>
      </c>
      <c r="L57" s="17">
        <f>+L58+L62</f>
        <v>2909.7550000000015</v>
      </c>
      <c r="M57" s="17">
        <f>+M58+M62</f>
        <v>1990.4379999999983</v>
      </c>
      <c r="N57" s="17"/>
      <c r="O57" s="17">
        <f>+O58+O62</f>
        <v>61</v>
      </c>
      <c r="P57" s="17">
        <f>+P58+P62</f>
        <v>4961.1929999999993</v>
      </c>
      <c r="Q57" s="18">
        <f>+K57/F57</f>
        <v>0.90863532899946597</v>
      </c>
    </row>
    <row r="58" spans="1:30" ht="12.75" customHeight="1">
      <c r="A58" s="41" t="s">
        <v>15</v>
      </c>
      <c r="B58" s="62">
        <f t="shared" ref="B58:K58" si="31">+B59+B60+B61</f>
        <v>33895</v>
      </c>
      <c r="C58" s="62">
        <f t="shared" si="31"/>
        <v>19406</v>
      </c>
      <c r="D58" s="62">
        <f t="shared" si="31"/>
        <v>0</v>
      </c>
      <c r="E58" s="62">
        <f t="shared" si="31"/>
        <v>1000</v>
      </c>
      <c r="F58" s="62">
        <f t="shared" si="31"/>
        <v>54301</v>
      </c>
      <c r="G58" s="62">
        <f t="shared" si="31"/>
        <v>30985.244999999999</v>
      </c>
      <c r="H58" s="62">
        <f t="shared" si="31"/>
        <v>17415.562000000002</v>
      </c>
      <c r="I58" s="62">
        <f t="shared" si="31"/>
        <v>0</v>
      </c>
      <c r="J58" s="62">
        <f t="shared" si="31"/>
        <v>939</v>
      </c>
      <c r="K58" s="62">
        <f t="shared" si="31"/>
        <v>49339.807000000001</v>
      </c>
      <c r="L58" s="62">
        <f>+L59+L60+L61</f>
        <v>2909.7550000000015</v>
      </c>
      <c r="M58" s="62">
        <f>+M59+M60+M61</f>
        <v>1990.4379999999983</v>
      </c>
      <c r="N58" s="62"/>
      <c r="O58" s="62">
        <f>+O59+O60+O61</f>
        <v>61</v>
      </c>
      <c r="P58" s="17">
        <f>+P59+P60+P61</f>
        <v>4961.1929999999993</v>
      </c>
      <c r="Q58" s="18"/>
    </row>
    <row r="59" spans="1:30" ht="12.75" customHeight="1">
      <c r="A59" s="22" t="s">
        <v>16</v>
      </c>
      <c r="B59" s="25">
        <v>29338</v>
      </c>
      <c r="C59" s="25">
        <v>19406</v>
      </c>
      <c r="D59" s="25"/>
      <c r="E59" s="43">
        <v>1000</v>
      </c>
      <c r="F59" s="24">
        <f>SUM(B59:E59)</f>
        <v>49744</v>
      </c>
      <c r="G59" s="29">
        <v>27045.634999999998</v>
      </c>
      <c r="H59" s="29">
        <v>17415.562000000002</v>
      </c>
      <c r="I59" s="29"/>
      <c r="J59" s="29">
        <v>939</v>
      </c>
      <c r="K59" s="24">
        <f>SUM(G59:J59)</f>
        <v>45400.197</v>
      </c>
      <c r="L59" s="25">
        <f t="shared" ref="L59:M61" si="32">+B59-G59</f>
        <v>2292.3650000000016</v>
      </c>
      <c r="M59" s="25">
        <f t="shared" si="32"/>
        <v>1990.4379999999983</v>
      </c>
      <c r="N59" s="25"/>
      <c r="O59" s="25">
        <f>+E59-J59</f>
        <v>61</v>
      </c>
      <c r="P59" s="26">
        <f>SUM(L59:O59)</f>
        <v>4343.8029999999999</v>
      </c>
      <c r="Q59" s="18"/>
    </row>
    <row r="60" spans="1:30" ht="12.75" customHeight="1">
      <c r="A60" s="22" t="s">
        <v>17</v>
      </c>
      <c r="B60" s="25">
        <v>1922</v>
      </c>
      <c r="C60" s="25"/>
      <c r="D60" s="25"/>
      <c r="E60" s="43"/>
      <c r="F60" s="24">
        <f>SUM(B60:E60)</f>
        <v>1922</v>
      </c>
      <c r="G60" s="29">
        <v>1912.4690000000001</v>
      </c>
      <c r="H60" s="34"/>
      <c r="I60" s="34"/>
      <c r="J60" s="34"/>
      <c r="K60" s="24">
        <f>SUM(G60:J60)</f>
        <v>1912.4690000000001</v>
      </c>
      <c r="L60" s="25">
        <f t="shared" si="32"/>
        <v>9.5309999999999491</v>
      </c>
      <c r="M60" s="25">
        <f t="shared" si="32"/>
        <v>0</v>
      </c>
      <c r="N60" s="25"/>
      <c r="O60" s="25">
        <f>+E60-J60</f>
        <v>0</v>
      </c>
      <c r="P60" s="26">
        <f>SUM(L60:O60)</f>
        <v>9.5309999999999491</v>
      </c>
      <c r="Q60" s="18"/>
    </row>
    <row r="61" spans="1:30" ht="12.75" customHeight="1">
      <c r="A61" s="22" t="s">
        <v>18</v>
      </c>
      <c r="B61" s="25">
        <v>2635</v>
      </c>
      <c r="C61" s="25"/>
      <c r="D61" s="25"/>
      <c r="E61" s="43"/>
      <c r="F61" s="24">
        <f>SUM(B61:E61)</f>
        <v>2635</v>
      </c>
      <c r="G61" s="29">
        <v>2027.1410000000001</v>
      </c>
      <c r="H61" s="34"/>
      <c r="I61" s="34"/>
      <c r="J61" s="34"/>
      <c r="K61" s="24">
        <f>SUM(G61:J61)</f>
        <v>2027.1410000000001</v>
      </c>
      <c r="L61" s="25">
        <f t="shared" si="32"/>
        <v>607.85899999999992</v>
      </c>
      <c r="M61" s="25">
        <f t="shared" si="32"/>
        <v>0</v>
      </c>
      <c r="N61" s="25"/>
      <c r="O61" s="25">
        <f>+E61-J61</f>
        <v>0</v>
      </c>
      <c r="P61" s="26">
        <f>SUM(L61:O61)</f>
        <v>607.85899999999992</v>
      </c>
      <c r="Q61" s="18"/>
    </row>
    <row r="62" spans="1:30" ht="12.75" customHeight="1">
      <c r="A62" s="22" t="s">
        <v>19</v>
      </c>
      <c r="B62" s="44">
        <f t="shared" ref="B62:K62" si="33">+B63+B64</f>
        <v>0</v>
      </c>
      <c r="C62" s="44">
        <f t="shared" si="33"/>
        <v>0</v>
      </c>
      <c r="D62" s="44">
        <f t="shared" si="33"/>
        <v>0</v>
      </c>
      <c r="E62" s="44">
        <f t="shared" si="33"/>
        <v>0</v>
      </c>
      <c r="F62" s="44">
        <f t="shared" si="33"/>
        <v>0</v>
      </c>
      <c r="G62" s="44">
        <f t="shared" si="33"/>
        <v>0</v>
      </c>
      <c r="H62" s="44">
        <f t="shared" si="33"/>
        <v>0</v>
      </c>
      <c r="I62" s="44">
        <f t="shared" si="33"/>
        <v>0</v>
      </c>
      <c r="J62" s="44">
        <f t="shared" si="33"/>
        <v>0</v>
      </c>
      <c r="K62" s="44">
        <f t="shared" si="33"/>
        <v>0</v>
      </c>
      <c r="L62" s="44">
        <f>+L63+L64</f>
        <v>0</v>
      </c>
      <c r="M62" s="44">
        <f>+M63+M64</f>
        <v>0</v>
      </c>
      <c r="N62" s="44"/>
      <c r="O62" s="44">
        <f>+O63+O64</f>
        <v>0</v>
      </c>
      <c r="P62" s="45">
        <f>+P63+P64</f>
        <v>0</v>
      </c>
      <c r="Q62" s="18"/>
    </row>
    <row r="63" spans="1:30" ht="12.75" customHeight="1">
      <c r="A63" s="23" t="s">
        <v>20</v>
      </c>
      <c r="B63" s="25"/>
      <c r="C63" s="25"/>
      <c r="D63" s="25"/>
      <c r="E63" s="43"/>
      <c r="F63" s="24">
        <f>SUM(B63:E63)</f>
        <v>0</v>
      </c>
      <c r="G63" s="29"/>
      <c r="H63" s="29"/>
      <c r="I63" s="29"/>
      <c r="J63" s="29"/>
      <c r="K63" s="24">
        <f>SUM(G63:J63)</f>
        <v>0</v>
      </c>
      <c r="L63" s="25">
        <f>+B63-G63</f>
        <v>0</v>
      </c>
      <c r="M63" s="25">
        <f>+C63-H63</f>
        <v>0</v>
      </c>
      <c r="N63" s="25"/>
      <c r="O63" s="25">
        <f>+E63-J63</f>
        <v>0</v>
      </c>
      <c r="P63" s="26">
        <f>SUM(L63:O63)</f>
        <v>0</v>
      </c>
      <c r="Q63" s="18"/>
    </row>
    <row r="64" spans="1:30" ht="12.75" customHeight="1">
      <c r="A64" s="23" t="s">
        <v>21</v>
      </c>
      <c r="B64" s="25"/>
      <c r="C64" s="25"/>
      <c r="D64" s="25"/>
      <c r="E64" s="43"/>
      <c r="F64" s="24">
        <f>SUM(B64:E64)</f>
        <v>0</v>
      </c>
      <c r="G64" s="29"/>
      <c r="H64" s="29"/>
      <c r="I64" s="29"/>
      <c r="J64" s="29"/>
      <c r="K64" s="24">
        <f>SUM(G64:J64)</f>
        <v>0</v>
      </c>
      <c r="L64" s="25">
        <f>+B64-G64</f>
        <v>0</v>
      </c>
      <c r="M64" s="25">
        <f>+C64-H64</f>
        <v>0</v>
      </c>
      <c r="N64" s="25"/>
      <c r="O64" s="25">
        <f>+E64-J64</f>
        <v>0</v>
      </c>
      <c r="P64" s="26">
        <f>SUM(L64:O64)</f>
        <v>0</v>
      </c>
      <c r="Q64" s="18"/>
    </row>
    <row r="65" spans="1:17" ht="12.75" customHeight="1">
      <c r="A65" s="22"/>
      <c r="B65" s="25"/>
      <c r="C65" s="25"/>
      <c r="D65" s="25"/>
      <c r="E65" s="43"/>
      <c r="F65" s="24"/>
      <c r="G65" s="47"/>
      <c r="H65" s="47"/>
      <c r="I65" s="47"/>
      <c r="J65" s="47"/>
      <c r="K65" s="32"/>
      <c r="L65" s="25"/>
      <c r="M65" s="25"/>
      <c r="N65" s="25"/>
      <c r="O65" s="25"/>
      <c r="P65" s="26"/>
      <c r="Q65" s="18"/>
    </row>
    <row r="66" spans="1:17" ht="12.75" customHeight="1">
      <c r="A66" s="42" t="s">
        <v>172</v>
      </c>
      <c r="B66" s="17">
        <f t="shared" ref="B66:K66" si="34">+B67+B71</f>
        <v>50147</v>
      </c>
      <c r="C66" s="17">
        <f t="shared" si="34"/>
        <v>134611</v>
      </c>
      <c r="D66" s="17">
        <f t="shared" si="34"/>
        <v>0</v>
      </c>
      <c r="E66" s="17">
        <f t="shared" si="34"/>
        <v>1200</v>
      </c>
      <c r="F66" s="17">
        <f t="shared" si="34"/>
        <v>185958</v>
      </c>
      <c r="G66" s="17">
        <f t="shared" si="34"/>
        <v>50134</v>
      </c>
      <c r="H66" s="17">
        <f t="shared" si="34"/>
        <v>134549</v>
      </c>
      <c r="I66" s="17">
        <f t="shared" si="34"/>
        <v>0</v>
      </c>
      <c r="J66" s="17">
        <f t="shared" si="34"/>
        <v>1200</v>
      </c>
      <c r="K66" s="17">
        <f t="shared" si="34"/>
        <v>185883</v>
      </c>
      <c r="L66" s="17">
        <f>+L67+L71</f>
        <v>13</v>
      </c>
      <c r="M66" s="17">
        <f>+M67+M71</f>
        <v>62</v>
      </c>
      <c r="N66" s="17"/>
      <c r="O66" s="17">
        <f>+O67+O71</f>
        <v>0</v>
      </c>
      <c r="P66" s="17">
        <f>+P67+P71</f>
        <v>75</v>
      </c>
      <c r="Q66" s="18">
        <f>+K66/F66</f>
        <v>0.99959668312199534</v>
      </c>
    </row>
    <row r="67" spans="1:17" ht="12.75" customHeight="1">
      <c r="A67" s="41" t="s">
        <v>15</v>
      </c>
      <c r="B67" s="62">
        <f t="shared" ref="B67:K67" si="35">+B68+B69+B70</f>
        <v>50147</v>
      </c>
      <c r="C67" s="62">
        <f t="shared" si="35"/>
        <v>134611</v>
      </c>
      <c r="D67" s="62">
        <f t="shared" si="35"/>
        <v>0</v>
      </c>
      <c r="E67" s="62">
        <f t="shared" si="35"/>
        <v>1200</v>
      </c>
      <c r="F67" s="62">
        <f t="shared" si="35"/>
        <v>185958</v>
      </c>
      <c r="G67" s="62">
        <f t="shared" si="35"/>
        <v>50134</v>
      </c>
      <c r="H67" s="62">
        <f t="shared" si="35"/>
        <v>134549</v>
      </c>
      <c r="I67" s="62">
        <f t="shared" si="35"/>
        <v>0</v>
      </c>
      <c r="J67" s="62">
        <f t="shared" si="35"/>
        <v>1200</v>
      </c>
      <c r="K67" s="62">
        <f t="shared" si="35"/>
        <v>185883</v>
      </c>
      <c r="L67" s="62">
        <f>+L68+L69+L70</f>
        <v>13</v>
      </c>
      <c r="M67" s="62">
        <f>+M68+M69+M70</f>
        <v>62</v>
      </c>
      <c r="N67" s="62"/>
      <c r="O67" s="62">
        <f>+O68+O69+O70</f>
        <v>0</v>
      </c>
      <c r="P67" s="17">
        <f>+P68+P69+P70</f>
        <v>75</v>
      </c>
      <c r="Q67" s="18"/>
    </row>
    <row r="68" spans="1:17" ht="12.75" customHeight="1">
      <c r="A68" s="22" t="s">
        <v>16</v>
      </c>
      <c r="B68" s="25">
        <v>43624</v>
      </c>
      <c r="C68" s="25">
        <v>57611</v>
      </c>
      <c r="D68" s="25"/>
      <c r="E68" s="43">
        <v>1200</v>
      </c>
      <c r="F68" s="24">
        <f>SUM(B68:E68)</f>
        <v>102435</v>
      </c>
      <c r="G68" s="29">
        <v>43623</v>
      </c>
      <c r="H68" s="29">
        <v>57549</v>
      </c>
      <c r="I68" s="29"/>
      <c r="J68" s="29">
        <v>1200</v>
      </c>
      <c r="K68" s="24">
        <f>SUM(G68:J68)</f>
        <v>102372</v>
      </c>
      <c r="L68" s="25">
        <f t="shared" ref="L68:M70" si="36">+B68-G68</f>
        <v>1</v>
      </c>
      <c r="M68" s="25">
        <f t="shared" si="36"/>
        <v>62</v>
      </c>
      <c r="N68" s="25"/>
      <c r="O68" s="25">
        <f>+E68-J68</f>
        <v>0</v>
      </c>
      <c r="P68" s="26">
        <f>SUM(L68:O68)</f>
        <v>63</v>
      </c>
      <c r="Q68" s="18"/>
    </row>
    <row r="69" spans="1:17" ht="12.75" customHeight="1">
      <c r="A69" s="23" t="s">
        <v>17</v>
      </c>
      <c r="B69" s="25">
        <v>2584</v>
      </c>
      <c r="C69" s="25"/>
      <c r="D69" s="25"/>
      <c r="E69" s="25"/>
      <c r="F69" s="24">
        <f>SUM(B69:E69)</f>
        <v>2584</v>
      </c>
      <c r="G69" s="25">
        <v>2582</v>
      </c>
      <c r="H69" s="34"/>
      <c r="I69" s="34"/>
      <c r="J69" s="34"/>
      <c r="K69" s="24">
        <f>SUM(G69:J69)</f>
        <v>2582</v>
      </c>
      <c r="L69" s="25">
        <f t="shared" si="36"/>
        <v>2</v>
      </c>
      <c r="M69" s="25">
        <f t="shared" si="36"/>
        <v>0</v>
      </c>
      <c r="N69" s="25"/>
      <c r="O69" s="25">
        <f>+E69-J69</f>
        <v>0</v>
      </c>
      <c r="P69" s="26">
        <f>SUM(L69:O69)</f>
        <v>2</v>
      </c>
      <c r="Q69" s="18"/>
    </row>
    <row r="70" spans="1:17" ht="12.75" customHeight="1">
      <c r="A70" s="22" t="s">
        <v>18</v>
      </c>
      <c r="B70" s="25">
        <v>3939</v>
      </c>
      <c r="C70" s="25">
        <v>77000</v>
      </c>
      <c r="D70" s="25"/>
      <c r="E70" s="43"/>
      <c r="F70" s="24">
        <f>SUM(B70:E70)</f>
        <v>80939</v>
      </c>
      <c r="G70" s="29">
        <v>3929</v>
      </c>
      <c r="H70" s="29">
        <v>77000</v>
      </c>
      <c r="I70" s="29"/>
      <c r="J70" s="34"/>
      <c r="K70" s="24">
        <f>SUM(G70:J70)</f>
        <v>80929</v>
      </c>
      <c r="L70" s="25">
        <f t="shared" si="36"/>
        <v>10</v>
      </c>
      <c r="M70" s="25">
        <f t="shared" si="36"/>
        <v>0</v>
      </c>
      <c r="N70" s="25"/>
      <c r="O70" s="25">
        <f>+E70-J70</f>
        <v>0</v>
      </c>
      <c r="P70" s="26">
        <f>SUM(L70:O70)</f>
        <v>10</v>
      </c>
      <c r="Q70" s="18"/>
    </row>
    <row r="71" spans="1:17" ht="12.75" customHeight="1">
      <c r="A71" s="22" t="s">
        <v>19</v>
      </c>
      <c r="B71" s="44">
        <f t="shared" ref="B71:K71" si="37">+B72+B73</f>
        <v>0</v>
      </c>
      <c r="C71" s="44">
        <f t="shared" si="37"/>
        <v>0</v>
      </c>
      <c r="D71" s="44">
        <f t="shared" si="37"/>
        <v>0</v>
      </c>
      <c r="E71" s="44">
        <f t="shared" si="37"/>
        <v>0</v>
      </c>
      <c r="F71" s="44">
        <f t="shared" si="37"/>
        <v>0</v>
      </c>
      <c r="G71" s="44">
        <f t="shared" si="37"/>
        <v>0</v>
      </c>
      <c r="H71" s="44">
        <f t="shared" si="37"/>
        <v>0</v>
      </c>
      <c r="I71" s="44">
        <f t="shared" si="37"/>
        <v>0</v>
      </c>
      <c r="J71" s="44">
        <f t="shared" si="37"/>
        <v>0</v>
      </c>
      <c r="K71" s="44">
        <f t="shared" si="37"/>
        <v>0</v>
      </c>
      <c r="L71" s="44">
        <f>+L72+L73</f>
        <v>0</v>
      </c>
      <c r="M71" s="44">
        <f>+M72+M73</f>
        <v>0</v>
      </c>
      <c r="N71" s="44"/>
      <c r="O71" s="44">
        <f>+O72+O73</f>
        <v>0</v>
      </c>
      <c r="P71" s="45">
        <f>+P72+P73</f>
        <v>0</v>
      </c>
      <c r="Q71" s="18"/>
    </row>
    <row r="72" spans="1:17" ht="12.75" customHeight="1">
      <c r="A72" s="23" t="s">
        <v>20</v>
      </c>
      <c r="B72" s="25"/>
      <c r="C72" s="25"/>
      <c r="D72" s="25"/>
      <c r="E72" s="43"/>
      <c r="F72" s="24">
        <f>SUM(B72:E72)</f>
        <v>0</v>
      </c>
      <c r="G72" s="29"/>
      <c r="H72" s="29"/>
      <c r="I72" s="29"/>
      <c r="J72" s="29"/>
      <c r="K72" s="24">
        <f>SUM(G72:J72)</f>
        <v>0</v>
      </c>
      <c r="L72" s="25">
        <f>+B72-G72</f>
        <v>0</v>
      </c>
      <c r="M72" s="25">
        <f>+C72-H72</f>
        <v>0</v>
      </c>
      <c r="N72" s="25"/>
      <c r="O72" s="25">
        <f>+E72-J72</f>
        <v>0</v>
      </c>
      <c r="P72" s="26">
        <f>SUM(L72:O72)</f>
        <v>0</v>
      </c>
      <c r="Q72" s="18"/>
    </row>
    <row r="73" spans="1:17" ht="12.75" customHeight="1">
      <c r="A73" s="23" t="s">
        <v>21</v>
      </c>
      <c r="B73" s="25"/>
      <c r="C73" s="25"/>
      <c r="D73" s="25"/>
      <c r="E73" s="43"/>
      <c r="F73" s="24">
        <f>SUM(B73:E73)</f>
        <v>0</v>
      </c>
      <c r="G73" s="29"/>
      <c r="H73" s="29"/>
      <c r="I73" s="29"/>
      <c r="J73" s="29"/>
      <c r="K73" s="24">
        <f>SUM(G73:J73)</f>
        <v>0</v>
      </c>
      <c r="L73" s="25">
        <f>+B73-G73</f>
        <v>0</v>
      </c>
      <c r="M73" s="25">
        <f>+C73-H73</f>
        <v>0</v>
      </c>
      <c r="N73" s="25"/>
      <c r="O73" s="25">
        <f>+E73-J73</f>
        <v>0</v>
      </c>
      <c r="P73" s="26">
        <f>SUM(L73:O73)</f>
        <v>0</v>
      </c>
      <c r="Q73" s="18"/>
    </row>
    <row r="74" spans="1:17" ht="12.75" customHeight="1">
      <c r="A74" s="22"/>
      <c r="B74" s="25"/>
      <c r="C74" s="25"/>
      <c r="D74" s="25"/>
      <c r="E74" s="43"/>
      <c r="F74" s="24"/>
      <c r="G74" s="47"/>
      <c r="H74" s="47"/>
      <c r="I74" s="47"/>
      <c r="J74" s="47"/>
      <c r="K74" s="32"/>
      <c r="L74" s="25"/>
      <c r="M74" s="25"/>
      <c r="N74" s="25"/>
      <c r="O74" s="25"/>
      <c r="P74" s="26"/>
      <c r="Q74" s="18"/>
    </row>
    <row r="75" spans="1:17" ht="12.75" customHeight="1">
      <c r="A75" s="42" t="s">
        <v>173</v>
      </c>
      <c r="B75" s="17">
        <f t="shared" ref="B75:K75" si="38">+B76+B80</f>
        <v>152607</v>
      </c>
      <c r="C75" s="17">
        <f t="shared" si="38"/>
        <v>108167</v>
      </c>
      <c r="D75" s="17">
        <f t="shared" si="38"/>
        <v>0</v>
      </c>
      <c r="E75" s="17">
        <f t="shared" si="38"/>
        <v>8800</v>
      </c>
      <c r="F75" s="17">
        <f t="shared" si="38"/>
        <v>269574</v>
      </c>
      <c r="G75" s="17">
        <f t="shared" si="38"/>
        <v>143685</v>
      </c>
      <c r="H75" s="17">
        <f t="shared" si="38"/>
        <v>75231</v>
      </c>
      <c r="I75" s="17">
        <f t="shared" si="38"/>
        <v>0</v>
      </c>
      <c r="J75" s="17">
        <f t="shared" si="38"/>
        <v>5141</v>
      </c>
      <c r="K75" s="17">
        <f t="shared" si="38"/>
        <v>224057</v>
      </c>
      <c r="L75" s="17">
        <f>+L76+L80</f>
        <v>8922</v>
      </c>
      <c r="M75" s="17">
        <f>+M76+M80</f>
        <v>32936</v>
      </c>
      <c r="N75" s="17"/>
      <c r="O75" s="17">
        <f>+O76+O80</f>
        <v>3659</v>
      </c>
      <c r="P75" s="17">
        <f>+P76+P80</f>
        <v>45517</v>
      </c>
      <c r="Q75" s="18">
        <f>+K75/F75</f>
        <v>0.83115211407628331</v>
      </c>
    </row>
    <row r="76" spans="1:17" ht="12.75" customHeight="1">
      <c r="A76" s="41" t="s">
        <v>15</v>
      </c>
      <c r="B76" s="62">
        <f t="shared" ref="B76:K76" si="39">+B77+B78+B79</f>
        <v>152607</v>
      </c>
      <c r="C76" s="62">
        <f t="shared" si="39"/>
        <v>85892</v>
      </c>
      <c r="D76" s="62">
        <f t="shared" si="39"/>
        <v>0</v>
      </c>
      <c r="E76" s="62">
        <f t="shared" si="39"/>
        <v>8800</v>
      </c>
      <c r="F76" s="62">
        <f t="shared" si="39"/>
        <v>247299</v>
      </c>
      <c r="G76" s="62">
        <f t="shared" si="39"/>
        <v>143685</v>
      </c>
      <c r="H76" s="62">
        <f t="shared" si="39"/>
        <v>68225</v>
      </c>
      <c r="I76" s="62">
        <f t="shared" si="39"/>
        <v>0</v>
      </c>
      <c r="J76" s="62">
        <f t="shared" si="39"/>
        <v>5141</v>
      </c>
      <c r="K76" s="62">
        <f t="shared" si="39"/>
        <v>217051</v>
      </c>
      <c r="L76" s="62">
        <f>+L77+L78+L79</f>
        <v>8922</v>
      </c>
      <c r="M76" s="62">
        <f>+M77+M78+M79</f>
        <v>17667</v>
      </c>
      <c r="N76" s="62"/>
      <c r="O76" s="62">
        <f>+O77+O78+O79</f>
        <v>3659</v>
      </c>
      <c r="P76" s="17">
        <f>+P77+P78+P79</f>
        <v>30248</v>
      </c>
      <c r="Q76" s="18"/>
    </row>
    <row r="77" spans="1:17" ht="12.75" customHeight="1">
      <c r="A77" s="22" t="s">
        <v>16</v>
      </c>
      <c r="B77" s="25">
        <v>115997</v>
      </c>
      <c r="C77" s="25">
        <v>85892</v>
      </c>
      <c r="D77" s="25"/>
      <c r="E77" s="43">
        <v>8800</v>
      </c>
      <c r="F77" s="24">
        <f>SUM(B77:E77)</f>
        <v>210689</v>
      </c>
      <c r="G77" s="29">
        <v>107537</v>
      </c>
      <c r="H77" s="29">
        <v>68225</v>
      </c>
      <c r="I77" s="29"/>
      <c r="J77" s="29">
        <v>5141</v>
      </c>
      <c r="K77" s="24">
        <f>SUM(G77:J77)</f>
        <v>180903</v>
      </c>
      <c r="L77" s="25">
        <f t="shared" ref="L77:M79" si="40">+B77-G77</f>
        <v>8460</v>
      </c>
      <c r="M77" s="25">
        <f t="shared" si="40"/>
        <v>17667</v>
      </c>
      <c r="N77" s="25"/>
      <c r="O77" s="25">
        <f>+E77-J77</f>
        <v>3659</v>
      </c>
      <c r="P77" s="26">
        <f>SUM(L77:O77)</f>
        <v>29786</v>
      </c>
      <c r="Q77" s="18"/>
    </row>
    <row r="78" spans="1:17" ht="12.75" customHeight="1">
      <c r="A78" s="22" t="s">
        <v>17</v>
      </c>
      <c r="B78" s="25">
        <v>26470</v>
      </c>
      <c r="C78" s="25"/>
      <c r="D78" s="25"/>
      <c r="E78" s="43"/>
      <c r="F78" s="24">
        <f>SUM(B78:E78)</f>
        <v>26470</v>
      </c>
      <c r="G78" s="29">
        <f>23180+3290</f>
        <v>26470</v>
      </c>
      <c r="H78" s="34"/>
      <c r="I78" s="34"/>
      <c r="J78" s="34"/>
      <c r="K78" s="24">
        <f>SUM(G78:J78)</f>
        <v>26470</v>
      </c>
      <c r="L78" s="25">
        <f t="shared" si="40"/>
        <v>0</v>
      </c>
      <c r="M78" s="25">
        <f t="shared" si="40"/>
        <v>0</v>
      </c>
      <c r="N78" s="25"/>
      <c r="O78" s="25">
        <f>+E78-J78</f>
        <v>0</v>
      </c>
      <c r="P78" s="26">
        <f>SUM(L78:O78)</f>
        <v>0</v>
      </c>
      <c r="Q78" s="18"/>
    </row>
    <row r="79" spans="1:17" ht="12.75" customHeight="1">
      <c r="A79" s="22" t="s">
        <v>18</v>
      </c>
      <c r="B79" s="25">
        <v>10140</v>
      </c>
      <c r="C79" s="25"/>
      <c r="D79" s="25"/>
      <c r="E79" s="43"/>
      <c r="F79" s="24">
        <f>SUM(B79:E79)</f>
        <v>10140</v>
      </c>
      <c r="G79" s="29">
        <v>9678</v>
      </c>
      <c r="H79" s="34"/>
      <c r="I79" s="34"/>
      <c r="J79" s="34"/>
      <c r="K79" s="24">
        <f>SUM(G79:J79)</f>
        <v>9678</v>
      </c>
      <c r="L79" s="25">
        <f t="shared" si="40"/>
        <v>462</v>
      </c>
      <c r="M79" s="25">
        <f t="shared" si="40"/>
        <v>0</v>
      </c>
      <c r="N79" s="25"/>
      <c r="O79" s="25">
        <f>+E79-J79</f>
        <v>0</v>
      </c>
      <c r="P79" s="26">
        <f>SUM(L79:O79)</f>
        <v>462</v>
      </c>
      <c r="Q79" s="18"/>
    </row>
    <row r="80" spans="1:17" ht="12.75" customHeight="1">
      <c r="A80" s="22" t="s">
        <v>19</v>
      </c>
      <c r="B80" s="44">
        <v>0</v>
      </c>
      <c r="C80" s="44">
        <f t="shared" ref="C80:K80" si="41">+C81+C82</f>
        <v>22275</v>
      </c>
      <c r="D80" s="44">
        <f t="shared" si="41"/>
        <v>0</v>
      </c>
      <c r="E80" s="44">
        <f t="shared" si="41"/>
        <v>0</v>
      </c>
      <c r="F80" s="44">
        <f t="shared" si="41"/>
        <v>22275</v>
      </c>
      <c r="G80" s="44">
        <f t="shared" si="41"/>
        <v>0</v>
      </c>
      <c r="H80" s="44">
        <f t="shared" si="41"/>
        <v>7006</v>
      </c>
      <c r="I80" s="44">
        <f t="shared" si="41"/>
        <v>0</v>
      </c>
      <c r="J80" s="44">
        <f t="shared" si="41"/>
        <v>0</v>
      </c>
      <c r="K80" s="44">
        <f t="shared" si="41"/>
        <v>7006</v>
      </c>
      <c r="L80" s="44">
        <f>+L81+L82</f>
        <v>0</v>
      </c>
      <c r="M80" s="44">
        <f>+M81+M82</f>
        <v>15269</v>
      </c>
      <c r="N80" s="44"/>
      <c r="O80" s="44">
        <f>+O81+O82</f>
        <v>0</v>
      </c>
      <c r="P80" s="45">
        <f>+P81+P82</f>
        <v>15269</v>
      </c>
      <c r="Q80" s="18"/>
    </row>
    <row r="81" spans="1:17" ht="12.75" customHeight="1">
      <c r="A81" s="23" t="s">
        <v>20</v>
      </c>
      <c r="B81" s="25"/>
      <c r="C81" s="25">
        <v>22275</v>
      </c>
      <c r="D81" s="25"/>
      <c r="E81" s="43"/>
      <c r="F81" s="24">
        <f>SUM(B81:E81)</f>
        <v>22275</v>
      </c>
      <c r="G81" s="29"/>
      <c r="H81" s="29">
        <v>7006</v>
      </c>
      <c r="I81" s="29"/>
      <c r="J81" s="29"/>
      <c r="K81" s="24">
        <f>SUM(G81:J81)</f>
        <v>7006</v>
      </c>
      <c r="L81" s="25">
        <f>+B81-G81</f>
        <v>0</v>
      </c>
      <c r="M81" s="25">
        <f>+C81-H81</f>
        <v>15269</v>
      </c>
      <c r="N81" s="25"/>
      <c r="O81" s="25">
        <f>+E81-J81</f>
        <v>0</v>
      </c>
      <c r="P81" s="26">
        <f>SUM(L81:O81)</f>
        <v>15269</v>
      </c>
      <c r="Q81" s="18"/>
    </row>
    <row r="82" spans="1:17" ht="12.75" customHeight="1">
      <c r="A82" s="23" t="s">
        <v>21</v>
      </c>
      <c r="B82" s="25"/>
      <c r="C82" s="25"/>
      <c r="D82" s="25"/>
      <c r="E82" s="43"/>
      <c r="F82" s="24">
        <f>SUM(B82:E82)</f>
        <v>0</v>
      </c>
      <c r="G82" s="29"/>
      <c r="H82" s="29"/>
      <c r="I82" s="29"/>
      <c r="J82" s="29"/>
      <c r="K82" s="24">
        <f>SUM(G82:J82)</f>
        <v>0</v>
      </c>
      <c r="L82" s="25">
        <f>+B82-G82</f>
        <v>0</v>
      </c>
      <c r="M82" s="25">
        <f>+C82-H82</f>
        <v>0</v>
      </c>
      <c r="N82" s="25"/>
      <c r="O82" s="25">
        <f>+E82-J82</f>
        <v>0</v>
      </c>
      <c r="P82" s="26">
        <f>SUM(L82:O82)</f>
        <v>0</v>
      </c>
      <c r="Q82" s="18"/>
    </row>
    <row r="83" spans="1:17" ht="12.75" customHeight="1">
      <c r="A83" s="22"/>
      <c r="B83" s="25"/>
      <c r="C83" s="25"/>
      <c r="D83" s="25"/>
      <c r="E83" s="43"/>
      <c r="F83" s="24"/>
      <c r="G83" s="25"/>
      <c r="H83" s="25"/>
      <c r="I83" s="25"/>
      <c r="J83" s="25"/>
      <c r="K83" s="24"/>
      <c r="L83" s="25"/>
      <c r="M83" s="25"/>
      <c r="N83" s="25"/>
      <c r="O83" s="25"/>
      <c r="P83" s="26"/>
      <c r="Q83" s="18"/>
    </row>
    <row r="84" spans="1:17" ht="12.75" customHeight="1">
      <c r="A84" s="41" t="s">
        <v>174</v>
      </c>
      <c r="B84" s="17">
        <f t="shared" ref="B84:K84" si="42">+B85+B89</f>
        <v>11994</v>
      </c>
      <c r="C84" s="17">
        <f t="shared" si="42"/>
        <v>130839</v>
      </c>
      <c r="D84" s="17">
        <f t="shared" si="42"/>
        <v>0</v>
      </c>
      <c r="E84" s="17">
        <f t="shared" si="42"/>
        <v>3108</v>
      </c>
      <c r="F84" s="17">
        <f t="shared" si="42"/>
        <v>145941</v>
      </c>
      <c r="G84" s="17">
        <f t="shared" si="42"/>
        <v>11949.253000000001</v>
      </c>
      <c r="H84" s="17">
        <f t="shared" si="42"/>
        <v>130836.16399999999</v>
      </c>
      <c r="I84" s="17">
        <f t="shared" si="42"/>
        <v>0</v>
      </c>
      <c r="J84" s="17">
        <f t="shared" si="42"/>
        <v>3104.6689999999999</v>
      </c>
      <c r="K84" s="17">
        <f t="shared" si="42"/>
        <v>145890.08600000001</v>
      </c>
      <c r="L84" s="17">
        <f>+L85+L89</f>
        <v>44.746999999999616</v>
      </c>
      <c r="M84" s="17">
        <f>+M85+M89</f>
        <v>2.8360000000029686</v>
      </c>
      <c r="N84" s="17"/>
      <c r="O84" s="17">
        <f>+O85+O89</f>
        <v>3.3309999999999036</v>
      </c>
      <c r="P84" s="17">
        <f>+P85+P89</f>
        <v>50.914000000002488</v>
      </c>
      <c r="Q84" s="18">
        <f>+K84/F84</f>
        <v>0.99965113299209962</v>
      </c>
    </row>
    <row r="85" spans="1:17" ht="12.75" customHeight="1">
      <c r="A85" s="41" t="s">
        <v>15</v>
      </c>
      <c r="B85" s="62">
        <f t="shared" ref="B85:K85" si="43">+B86+B87+B88</f>
        <v>11994</v>
      </c>
      <c r="C85" s="62">
        <f t="shared" si="43"/>
        <v>130839</v>
      </c>
      <c r="D85" s="62">
        <f t="shared" si="43"/>
        <v>0</v>
      </c>
      <c r="E85" s="62">
        <f t="shared" si="43"/>
        <v>3108</v>
      </c>
      <c r="F85" s="62">
        <f t="shared" si="43"/>
        <v>145941</v>
      </c>
      <c r="G85" s="62">
        <f t="shared" si="43"/>
        <v>11949.253000000001</v>
      </c>
      <c r="H85" s="62">
        <f t="shared" si="43"/>
        <v>130836.16399999999</v>
      </c>
      <c r="I85" s="62">
        <f t="shared" si="43"/>
        <v>0</v>
      </c>
      <c r="J85" s="62">
        <f t="shared" si="43"/>
        <v>3104.6689999999999</v>
      </c>
      <c r="K85" s="62">
        <f t="shared" si="43"/>
        <v>145890.08600000001</v>
      </c>
      <c r="L85" s="62">
        <f>+L86+L87+L88</f>
        <v>44.746999999999616</v>
      </c>
      <c r="M85" s="62">
        <f>+M86+M87+M88</f>
        <v>2.8360000000029686</v>
      </c>
      <c r="N85" s="62"/>
      <c r="O85" s="62">
        <f>+O86+O87+O88</f>
        <v>3.3309999999999036</v>
      </c>
      <c r="P85" s="17">
        <f>+P86+P87+P88</f>
        <v>50.914000000002488</v>
      </c>
      <c r="Q85" s="18"/>
    </row>
    <row r="86" spans="1:17" ht="12.75" customHeight="1">
      <c r="A86" s="22" t="s">
        <v>16</v>
      </c>
      <c r="B86" s="25">
        <v>10502</v>
      </c>
      <c r="C86" s="25">
        <v>34429</v>
      </c>
      <c r="D86" s="25"/>
      <c r="E86" s="43">
        <v>2000</v>
      </c>
      <c r="F86" s="24">
        <f>SUM(B86:E86)</f>
        <v>46931</v>
      </c>
      <c r="G86" s="29">
        <f>10746.011-244</f>
        <v>10502.011</v>
      </c>
      <c r="H86" s="29">
        <v>34426.449000000001</v>
      </c>
      <c r="I86" s="29"/>
      <c r="J86" s="29">
        <v>1998.88</v>
      </c>
      <c r="K86" s="24">
        <f>SUM(G86:J86)</f>
        <v>46927.34</v>
      </c>
      <c r="L86" s="25">
        <f t="shared" ref="L86:M88" si="44">+B86-G86</f>
        <v>-1.1000000000422006E-2</v>
      </c>
      <c r="M86" s="25">
        <f t="shared" si="44"/>
        <v>2.5509999999994761</v>
      </c>
      <c r="N86" s="25"/>
      <c r="O86" s="25">
        <f>+E86-J86</f>
        <v>1.1199999999998909</v>
      </c>
      <c r="P86" s="26">
        <f>SUM(L86:O86)</f>
        <v>3.659999999998945</v>
      </c>
      <c r="Q86" s="18"/>
    </row>
    <row r="87" spans="1:17" ht="12.75" customHeight="1">
      <c r="A87" s="22" t="s">
        <v>17</v>
      </c>
      <c r="B87" s="25">
        <v>659</v>
      </c>
      <c r="C87" s="25"/>
      <c r="D87" s="25"/>
      <c r="E87" s="43"/>
      <c r="F87" s="24">
        <f>SUM(B87:E87)</f>
        <v>659</v>
      </c>
      <c r="G87" s="29">
        <f>404.281+244</f>
        <v>648.28099999999995</v>
      </c>
      <c r="H87" s="34"/>
      <c r="I87" s="34"/>
      <c r="J87" s="34"/>
      <c r="K87" s="24">
        <f>SUM(G87:J87)</f>
        <v>648.28099999999995</v>
      </c>
      <c r="L87" s="25">
        <f t="shared" si="44"/>
        <v>10.719000000000051</v>
      </c>
      <c r="M87" s="25">
        <f t="shared" si="44"/>
        <v>0</v>
      </c>
      <c r="N87" s="25"/>
      <c r="O87" s="25">
        <f>+E87-J87</f>
        <v>0</v>
      </c>
      <c r="P87" s="26">
        <f>SUM(L87:O87)</f>
        <v>10.719000000000051</v>
      </c>
      <c r="Q87" s="18"/>
    </row>
    <row r="88" spans="1:17" ht="12.75" customHeight="1">
      <c r="A88" s="22" t="s">
        <v>18</v>
      </c>
      <c r="B88" s="25">
        <v>833</v>
      </c>
      <c r="C88" s="25">
        <v>96410</v>
      </c>
      <c r="D88" s="25"/>
      <c r="E88" s="43">
        <v>1108</v>
      </c>
      <c r="F88" s="24">
        <f>SUM(B88:E88)</f>
        <v>98351</v>
      </c>
      <c r="G88" s="29">
        <v>798.96100000000001</v>
      </c>
      <c r="H88" s="29">
        <v>96409.714999999997</v>
      </c>
      <c r="I88" s="29"/>
      <c r="J88" s="29">
        <v>1105.789</v>
      </c>
      <c r="K88" s="24">
        <f>SUM(G88:J88)</f>
        <v>98314.464999999997</v>
      </c>
      <c r="L88" s="25">
        <f t="shared" si="44"/>
        <v>34.038999999999987</v>
      </c>
      <c r="M88" s="25">
        <f t="shared" si="44"/>
        <v>0.28500000000349246</v>
      </c>
      <c r="N88" s="25"/>
      <c r="O88" s="25">
        <f>+E88-J88</f>
        <v>2.2110000000000127</v>
      </c>
      <c r="P88" s="26">
        <f>SUM(L88:O88)</f>
        <v>36.535000000003492</v>
      </c>
      <c r="Q88" s="18"/>
    </row>
    <row r="89" spans="1:17" ht="12.75" customHeight="1">
      <c r="A89" s="22" t="s">
        <v>19</v>
      </c>
      <c r="B89" s="44">
        <f t="shared" ref="B89:K89" si="45">+B90+B91</f>
        <v>0</v>
      </c>
      <c r="C89" s="44">
        <f t="shared" si="45"/>
        <v>0</v>
      </c>
      <c r="D89" s="44">
        <f t="shared" si="45"/>
        <v>0</v>
      </c>
      <c r="E89" s="44">
        <f t="shared" si="45"/>
        <v>0</v>
      </c>
      <c r="F89" s="44">
        <f t="shared" si="45"/>
        <v>0</v>
      </c>
      <c r="G89" s="44">
        <f t="shared" si="45"/>
        <v>0</v>
      </c>
      <c r="H89" s="44">
        <f t="shared" si="45"/>
        <v>0</v>
      </c>
      <c r="I89" s="44">
        <f t="shared" si="45"/>
        <v>0</v>
      </c>
      <c r="J89" s="44">
        <f t="shared" si="45"/>
        <v>0</v>
      </c>
      <c r="K89" s="44">
        <f t="shared" si="45"/>
        <v>0</v>
      </c>
      <c r="L89" s="44">
        <f>+L90+L91</f>
        <v>0</v>
      </c>
      <c r="M89" s="44">
        <f>+M90+M91</f>
        <v>0</v>
      </c>
      <c r="N89" s="44"/>
      <c r="O89" s="44">
        <f>+O90+O91</f>
        <v>0</v>
      </c>
      <c r="P89" s="45">
        <f>+P90+P91</f>
        <v>0</v>
      </c>
      <c r="Q89" s="18"/>
    </row>
    <row r="90" spans="1:17" ht="12.75" customHeight="1">
      <c r="A90" s="23" t="s">
        <v>20</v>
      </c>
      <c r="B90" s="25"/>
      <c r="C90" s="25"/>
      <c r="D90" s="25"/>
      <c r="E90" s="43"/>
      <c r="F90" s="24">
        <f>SUM(B90:E90)</f>
        <v>0</v>
      </c>
      <c r="G90" s="29"/>
      <c r="H90" s="29"/>
      <c r="I90" s="29"/>
      <c r="J90" s="29"/>
      <c r="K90" s="24">
        <f>SUM(G90:J90)</f>
        <v>0</v>
      </c>
      <c r="L90" s="25">
        <f>+B90-G90</f>
        <v>0</v>
      </c>
      <c r="M90" s="25">
        <f>+C90-H90</f>
        <v>0</v>
      </c>
      <c r="N90" s="25"/>
      <c r="O90" s="25">
        <f>+E90-J90</f>
        <v>0</v>
      </c>
      <c r="P90" s="26">
        <f>SUM(L90:O90)</f>
        <v>0</v>
      </c>
      <c r="Q90" s="18"/>
    </row>
    <row r="91" spans="1:17" ht="12.75" customHeight="1">
      <c r="A91" s="23" t="s">
        <v>21</v>
      </c>
      <c r="B91" s="25"/>
      <c r="C91" s="25"/>
      <c r="D91" s="25"/>
      <c r="E91" s="43"/>
      <c r="F91" s="24">
        <f>SUM(B91:E91)</f>
        <v>0</v>
      </c>
      <c r="G91" s="29"/>
      <c r="H91" s="29"/>
      <c r="I91" s="29"/>
      <c r="J91" s="29"/>
      <c r="K91" s="24">
        <f>SUM(G91:J91)</f>
        <v>0</v>
      </c>
      <c r="L91" s="25">
        <f>+B91-G91</f>
        <v>0</v>
      </c>
      <c r="M91" s="25">
        <f>+C91-H91</f>
        <v>0</v>
      </c>
      <c r="N91" s="25"/>
      <c r="O91" s="25">
        <f>+E91-J91</f>
        <v>0</v>
      </c>
      <c r="P91" s="26">
        <f>SUM(L91:O91)</f>
        <v>0</v>
      </c>
      <c r="Q91" s="18"/>
    </row>
    <row r="92" spans="1:17" ht="12.75" customHeight="1">
      <c r="A92" s="22"/>
      <c r="B92" s="25"/>
      <c r="C92" s="25"/>
      <c r="D92" s="25"/>
      <c r="E92" s="43"/>
      <c r="F92" s="24"/>
      <c r="G92" s="25"/>
      <c r="H92" s="25"/>
      <c r="I92" s="25"/>
      <c r="J92" s="25"/>
      <c r="K92" s="24">
        <f>83083-K93</f>
        <v>0</v>
      </c>
      <c r="L92" s="25"/>
      <c r="M92" s="25"/>
      <c r="N92" s="25"/>
      <c r="O92" s="25"/>
      <c r="P92" s="26"/>
      <c r="Q92" s="18"/>
    </row>
    <row r="93" spans="1:17" ht="12.75" customHeight="1">
      <c r="A93" s="42" t="s">
        <v>175</v>
      </c>
      <c r="B93" s="17">
        <f t="shared" ref="B93:K93" si="46">+B94+B98</f>
        <v>60655</v>
      </c>
      <c r="C93" s="17">
        <f t="shared" si="46"/>
        <v>22428</v>
      </c>
      <c r="D93" s="17">
        <f t="shared" si="46"/>
        <v>0</v>
      </c>
      <c r="E93" s="17">
        <f t="shared" si="46"/>
        <v>0</v>
      </c>
      <c r="F93" s="17">
        <f t="shared" si="46"/>
        <v>83083</v>
      </c>
      <c r="G93" s="17">
        <f t="shared" si="46"/>
        <v>60655</v>
      </c>
      <c r="H93" s="17">
        <f t="shared" si="46"/>
        <v>22428</v>
      </c>
      <c r="I93" s="17">
        <f t="shared" si="46"/>
        <v>0</v>
      </c>
      <c r="J93" s="17">
        <f t="shared" si="46"/>
        <v>0</v>
      </c>
      <c r="K93" s="17">
        <f t="shared" si="46"/>
        <v>83083</v>
      </c>
      <c r="L93" s="17">
        <f>+L94+L98</f>
        <v>0</v>
      </c>
      <c r="M93" s="17">
        <f>+M94+M98</f>
        <v>0</v>
      </c>
      <c r="N93" s="17"/>
      <c r="O93" s="17">
        <f>+O94+O98</f>
        <v>0</v>
      </c>
      <c r="P93" s="17">
        <f>+P94+P98</f>
        <v>0</v>
      </c>
      <c r="Q93" s="18">
        <f>+K93/F93</f>
        <v>1</v>
      </c>
    </row>
    <row r="94" spans="1:17" ht="12.75" customHeight="1">
      <c r="A94" s="41" t="s">
        <v>15</v>
      </c>
      <c r="B94" s="62">
        <f t="shared" ref="B94:K94" si="47">+B95+B96+B97</f>
        <v>60655</v>
      </c>
      <c r="C94" s="62">
        <f t="shared" si="47"/>
        <v>22428</v>
      </c>
      <c r="D94" s="62">
        <f t="shared" si="47"/>
        <v>0</v>
      </c>
      <c r="E94" s="62">
        <f t="shared" si="47"/>
        <v>0</v>
      </c>
      <c r="F94" s="62">
        <f t="shared" si="47"/>
        <v>83083</v>
      </c>
      <c r="G94" s="62">
        <f t="shared" si="47"/>
        <v>60655</v>
      </c>
      <c r="H94" s="62">
        <f t="shared" si="47"/>
        <v>22428</v>
      </c>
      <c r="I94" s="62">
        <f t="shared" si="47"/>
        <v>0</v>
      </c>
      <c r="J94" s="62">
        <f t="shared" si="47"/>
        <v>0</v>
      </c>
      <c r="K94" s="62">
        <f t="shared" si="47"/>
        <v>83083</v>
      </c>
      <c r="L94" s="62">
        <f>+L95+L96+L97</f>
        <v>0</v>
      </c>
      <c r="M94" s="62">
        <f>+M95+M96+M97</f>
        <v>0</v>
      </c>
      <c r="N94" s="62"/>
      <c r="O94" s="62">
        <f>+O95+O96+O97</f>
        <v>0</v>
      </c>
      <c r="P94" s="17">
        <f>+P95+P96+P97</f>
        <v>0</v>
      </c>
      <c r="Q94" s="18"/>
    </row>
    <row r="95" spans="1:17" ht="12.75" customHeight="1">
      <c r="A95" s="22" t="s">
        <v>16</v>
      </c>
      <c r="B95" s="25">
        <v>51133</v>
      </c>
      <c r="C95" s="25">
        <v>10140</v>
      </c>
      <c r="D95" s="25"/>
      <c r="E95" s="43"/>
      <c r="F95" s="24">
        <f>SUM(B95:E95)</f>
        <v>61273</v>
      </c>
      <c r="G95" s="29">
        <v>51133</v>
      </c>
      <c r="H95" s="29">
        <v>10140</v>
      </c>
      <c r="I95" s="29"/>
      <c r="J95" s="29"/>
      <c r="K95" s="24">
        <f>SUM(G95:J95)</f>
        <v>61273</v>
      </c>
      <c r="L95" s="25">
        <f t="shared" ref="L95:M97" si="48">+B95-G95</f>
        <v>0</v>
      </c>
      <c r="M95" s="25">
        <f t="shared" si="48"/>
        <v>0</v>
      </c>
      <c r="N95" s="25"/>
      <c r="O95" s="25">
        <f>+E95-J95</f>
        <v>0</v>
      </c>
      <c r="P95" s="26">
        <f>SUM(L95:O95)</f>
        <v>0</v>
      </c>
      <c r="Q95" s="18"/>
    </row>
    <row r="96" spans="1:17" ht="12.75" customHeight="1">
      <c r="A96" s="22" t="s">
        <v>17</v>
      </c>
      <c r="B96" s="25">
        <v>4686</v>
      </c>
      <c r="C96" s="25"/>
      <c r="D96" s="25"/>
      <c r="E96" s="43"/>
      <c r="F96" s="24">
        <f>SUM(B96:E96)</f>
        <v>4686</v>
      </c>
      <c r="G96" s="29">
        <f>1567+1608+756+755</f>
        <v>4686</v>
      </c>
      <c r="H96" s="29"/>
      <c r="I96" s="29"/>
      <c r="J96" s="29"/>
      <c r="K96" s="24">
        <f>SUM(G96:J96)</f>
        <v>4686</v>
      </c>
      <c r="L96" s="25">
        <f t="shared" si="48"/>
        <v>0</v>
      </c>
      <c r="M96" s="25">
        <f t="shared" si="48"/>
        <v>0</v>
      </c>
      <c r="N96" s="25"/>
      <c r="O96" s="25">
        <f>+E96-J96</f>
        <v>0</v>
      </c>
      <c r="P96" s="26">
        <f>SUM(L96:O96)</f>
        <v>0</v>
      </c>
      <c r="Q96" s="18"/>
    </row>
    <row r="97" spans="1:17" ht="12.75" customHeight="1">
      <c r="A97" s="22" t="s">
        <v>18</v>
      </c>
      <c r="B97" s="25">
        <v>4836</v>
      </c>
      <c r="C97" s="25">
        <v>12288</v>
      </c>
      <c r="D97" s="25"/>
      <c r="E97" s="43"/>
      <c r="F97" s="24">
        <f>SUM(B97:E97)</f>
        <v>17124</v>
      </c>
      <c r="G97" s="29">
        <f>4795+41</f>
        <v>4836</v>
      </c>
      <c r="H97" s="29">
        <f>12288+41-41</f>
        <v>12288</v>
      </c>
      <c r="I97" s="29"/>
      <c r="J97" s="29"/>
      <c r="K97" s="24">
        <f>SUM(G97:J97)</f>
        <v>17124</v>
      </c>
      <c r="L97" s="25">
        <f t="shared" si="48"/>
        <v>0</v>
      </c>
      <c r="M97" s="25">
        <f t="shared" si="48"/>
        <v>0</v>
      </c>
      <c r="N97" s="25"/>
      <c r="O97" s="25">
        <f>+E97-J97</f>
        <v>0</v>
      </c>
      <c r="P97" s="26">
        <f>SUM(L97:O97)</f>
        <v>0</v>
      </c>
      <c r="Q97" s="18"/>
    </row>
    <row r="98" spans="1:17" ht="12.75" customHeight="1">
      <c r="A98" s="22" t="s">
        <v>19</v>
      </c>
      <c r="B98" s="44">
        <f t="shared" ref="B98:K98" si="49">+B99+B100</f>
        <v>0</v>
      </c>
      <c r="C98" s="44">
        <f t="shared" si="49"/>
        <v>0</v>
      </c>
      <c r="D98" s="44">
        <f t="shared" si="49"/>
        <v>0</v>
      </c>
      <c r="E98" s="44">
        <f t="shared" si="49"/>
        <v>0</v>
      </c>
      <c r="F98" s="44">
        <f t="shared" si="49"/>
        <v>0</v>
      </c>
      <c r="G98" s="44">
        <f t="shared" si="49"/>
        <v>0</v>
      </c>
      <c r="H98" s="44">
        <f t="shared" si="49"/>
        <v>0</v>
      </c>
      <c r="I98" s="44">
        <f t="shared" si="49"/>
        <v>0</v>
      </c>
      <c r="J98" s="44">
        <f t="shared" si="49"/>
        <v>0</v>
      </c>
      <c r="K98" s="44">
        <f t="shared" si="49"/>
        <v>0</v>
      </c>
      <c r="L98" s="44">
        <f>+L99+L100</f>
        <v>0</v>
      </c>
      <c r="M98" s="44">
        <f>+M99+M100</f>
        <v>0</v>
      </c>
      <c r="N98" s="44"/>
      <c r="O98" s="44">
        <f>+O99+O100</f>
        <v>0</v>
      </c>
      <c r="P98" s="45">
        <f>+P99+P100</f>
        <v>0</v>
      </c>
      <c r="Q98" s="18"/>
    </row>
    <row r="99" spans="1:17" ht="12.75" customHeight="1">
      <c r="A99" s="23" t="s">
        <v>20</v>
      </c>
      <c r="B99" s="25"/>
      <c r="C99" s="25"/>
      <c r="D99" s="25"/>
      <c r="E99" s="43"/>
      <c r="F99" s="24">
        <f>SUM(B99:E99)</f>
        <v>0</v>
      </c>
      <c r="G99" s="29"/>
      <c r="H99" s="29"/>
      <c r="I99" s="29"/>
      <c r="J99" s="29"/>
      <c r="K99" s="24">
        <f>SUM(G99:J99)</f>
        <v>0</v>
      </c>
      <c r="L99" s="25">
        <f>+B99-G99</f>
        <v>0</v>
      </c>
      <c r="M99" s="25">
        <f>+C99-H99</f>
        <v>0</v>
      </c>
      <c r="N99" s="25"/>
      <c r="O99" s="25">
        <f>+E99-J99</f>
        <v>0</v>
      </c>
      <c r="P99" s="26">
        <f>SUM(L99:O99)</f>
        <v>0</v>
      </c>
      <c r="Q99" s="18"/>
    </row>
    <row r="100" spans="1:17" ht="12.75" customHeight="1">
      <c r="A100" s="23" t="s">
        <v>21</v>
      </c>
      <c r="B100" s="25"/>
      <c r="C100" s="25"/>
      <c r="D100" s="25"/>
      <c r="E100" s="43"/>
      <c r="F100" s="24">
        <f>SUM(B100:E100)</f>
        <v>0</v>
      </c>
      <c r="G100" s="29"/>
      <c r="H100" s="29"/>
      <c r="I100" s="29"/>
      <c r="J100" s="29"/>
      <c r="K100" s="24">
        <f>SUM(G100:J100)</f>
        <v>0</v>
      </c>
      <c r="L100" s="25">
        <f>+B100-G100</f>
        <v>0</v>
      </c>
      <c r="M100" s="25">
        <f>+C100-H100</f>
        <v>0</v>
      </c>
      <c r="N100" s="25"/>
      <c r="O100" s="25">
        <f>+E100-J100</f>
        <v>0</v>
      </c>
      <c r="P100" s="26">
        <f>SUM(L100:O100)</f>
        <v>0</v>
      </c>
      <c r="Q100" s="18"/>
    </row>
    <row r="101" spans="1:17" ht="12.75" customHeight="1">
      <c r="A101" s="65"/>
      <c r="B101" s="44"/>
      <c r="C101" s="44"/>
      <c r="D101" s="44"/>
      <c r="E101" s="45"/>
      <c r="F101" s="77"/>
      <c r="G101" s="84"/>
      <c r="H101" s="84"/>
      <c r="I101" s="84"/>
      <c r="J101" s="84"/>
      <c r="K101" s="82"/>
      <c r="L101" s="44"/>
      <c r="M101" s="44"/>
      <c r="N101" s="44"/>
      <c r="O101" s="44"/>
      <c r="P101" s="75"/>
      <c r="Q101" s="76"/>
    </row>
    <row r="102" spans="1:17" ht="12.75" customHeight="1">
      <c r="A102" s="42" t="s">
        <v>176</v>
      </c>
      <c r="B102" s="17">
        <f t="shared" ref="B102:K102" si="50">+B103+B107</f>
        <v>41775</v>
      </c>
      <c r="C102" s="17">
        <f t="shared" si="50"/>
        <v>61134</v>
      </c>
      <c r="D102" s="17">
        <f t="shared" si="50"/>
        <v>0</v>
      </c>
      <c r="E102" s="17">
        <f t="shared" si="50"/>
        <v>5052</v>
      </c>
      <c r="F102" s="17">
        <f t="shared" si="50"/>
        <v>107961</v>
      </c>
      <c r="G102" s="17">
        <f t="shared" si="50"/>
        <v>41721</v>
      </c>
      <c r="H102" s="17">
        <f t="shared" si="50"/>
        <v>42894</v>
      </c>
      <c r="I102" s="17">
        <f t="shared" si="50"/>
        <v>0</v>
      </c>
      <c r="J102" s="17">
        <f t="shared" si="50"/>
        <v>5039</v>
      </c>
      <c r="K102" s="17">
        <f t="shared" si="50"/>
        <v>89654</v>
      </c>
      <c r="L102" s="17">
        <f>+L103+L107</f>
        <v>54</v>
      </c>
      <c r="M102" s="17">
        <f>+M103+M107</f>
        <v>18240</v>
      </c>
      <c r="N102" s="17"/>
      <c r="O102" s="17">
        <f>+O103+O107</f>
        <v>13</v>
      </c>
      <c r="P102" s="17">
        <f>+P103+P107</f>
        <v>18307</v>
      </c>
      <c r="Q102" s="18">
        <f>+K102/F102</f>
        <v>0.83042950695158435</v>
      </c>
    </row>
    <row r="103" spans="1:17" ht="12.75" customHeight="1">
      <c r="A103" s="41" t="s">
        <v>15</v>
      </c>
      <c r="B103" s="62">
        <f t="shared" ref="B103:K103" si="51">+B104+B105+B106</f>
        <v>41775</v>
      </c>
      <c r="C103" s="62">
        <f t="shared" si="51"/>
        <v>57242</v>
      </c>
      <c r="D103" s="62">
        <f t="shared" si="51"/>
        <v>0</v>
      </c>
      <c r="E103" s="62">
        <f t="shared" si="51"/>
        <v>5049</v>
      </c>
      <c r="F103" s="62">
        <f t="shared" si="51"/>
        <v>104066</v>
      </c>
      <c r="G103" s="62">
        <f t="shared" si="51"/>
        <v>41721</v>
      </c>
      <c r="H103" s="62">
        <f t="shared" si="51"/>
        <v>40591</v>
      </c>
      <c r="I103" s="62">
        <f t="shared" si="51"/>
        <v>0</v>
      </c>
      <c r="J103" s="62">
        <f t="shared" si="51"/>
        <v>5039</v>
      </c>
      <c r="K103" s="62">
        <f t="shared" si="51"/>
        <v>87351</v>
      </c>
      <c r="L103" s="62">
        <f>+L104+L105+L106</f>
        <v>54</v>
      </c>
      <c r="M103" s="62">
        <f>+M104+M105+M106</f>
        <v>16651</v>
      </c>
      <c r="N103" s="62"/>
      <c r="O103" s="62">
        <f>+O104+O105+O106</f>
        <v>10</v>
      </c>
      <c r="P103" s="17">
        <f>+P104+P105+P106</f>
        <v>16715</v>
      </c>
      <c r="Q103" s="18"/>
    </row>
    <row r="104" spans="1:17" ht="12.75" customHeight="1">
      <c r="A104" s="22" t="s">
        <v>16</v>
      </c>
      <c r="B104" s="25">
        <v>25950</v>
      </c>
      <c r="C104" s="25">
        <v>57242</v>
      </c>
      <c r="D104" s="25"/>
      <c r="E104" s="43">
        <v>5049</v>
      </c>
      <c r="F104" s="24">
        <f>SUM(B104:E104)</f>
        <v>88241</v>
      </c>
      <c r="G104" s="29">
        <f>26196-246</f>
        <v>25950</v>
      </c>
      <c r="H104" s="29">
        <v>40591</v>
      </c>
      <c r="I104" s="29"/>
      <c r="J104" s="29">
        <v>5039</v>
      </c>
      <c r="K104" s="24">
        <f>SUM(G104:J104)</f>
        <v>71580</v>
      </c>
      <c r="L104" s="25">
        <f t="shared" ref="L104:M106" si="52">+B104-G104</f>
        <v>0</v>
      </c>
      <c r="M104" s="25">
        <f t="shared" si="52"/>
        <v>16651</v>
      </c>
      <c r="N104" s="25"/>
      <c r="O104" s="25">
        <f>+E104-J104</f>
        <v>10</v>
      </c>
      <c r="P104" s="26">
        <f>SUM(L104:O104)</f>
        <v>16661</v>
      </c>
      <c r="Q104" s="18"/>
    </row>
    <row r="105" spans="1:17" ht="12.75" customHeight="1">
      <c r="A105" s="22" t="s">
        <v>17</v>
      </c>
      <c r="B105" s="25">
        <v>12717</v>
      </c>
      <c r="C105" s="25"/>
      <c r="D105" s="25"/>
      <c r="E105" s="43"/>
      <c r="F105" s="24">
        <f>SUM(B105:E105)</f>
        <v>12717</v>
      </c>
      <c r="G105" s="29">
        <f>12417+246</f>
        <v>12663</v>
      </c>
      <c r="H105" s="34"/>
      <c r="I105" s="34"/>
      <c r="J105" s="34"/>
      <c r="K105" s="24">
        <f>SUM(G105:J105)</f>
        <v>12663</v>
      </c>
      <c r="L105" s="25">
        <f t="shared" si="52"/>
        <v>54</v>
      </c>
      <c r="M105" s="25">
        <f t="shared" si="52"/>
        <v>0</v>
      </c>
      <c r="N105" s="25"/>
      <c r="O105" s="25">
        <f>+E105-J105</f>
        <v>0</v>
      </c>
      <c r="P105" s="26">
        <f>SUM(L105:O105)</f>
        <v>54</v>
      </c>
      <c r="Q105" s="18"/>
    </row>
    <row r="106" spans="1:17" ht="12.75" customHeight="1">
      <c r="A106" s="22" t="s">
        <v>18</v>
      </c>
      <c r="B106" s="25">
        <v>3108</v>
      </c>
      <c r="C106" s="25"/>
      <c r="D106" s="25"/>
      <c r="E106" s="43"/>
      <c r="F106" s="24">
        <f>SUM(B106:E106)</f>
        <v>3108</v>
      </c>
      <c r="G106" s="29">
        <v>3108</v>
      </c>
      <c r="H106" s="34"/>
      <c r="I106" s="34"/>
      <c r="J106" s="34"/>
      <c r="K106" s="24">
        <f>SUM(G106:J106)</f>
        <v>3108</v>
      </c>
      <c r="L106" s="25">
        <f t="shared" si="52"/>
        <v>0</v>
      </c>
      <c r="M106" s="25">
        <f t="shared" si="52"/>
        <v>0</v>
      </c>
      <c r="N106" s="25"/>
      <c r="O106" s="25">
        <f>+E106-J106</f>
        <v>0</v>
      </c>
      <c r="P106" s="26">
        <f>SUM(L106:O106)</f>
        <v>0</v>
      </c>
      <c r="Q106" s="18"/>
    </row>
    <row r="107" spans="1:17" ht="12.75" customHeight="1">
      <c r="A107" s="22" t="s">
        <v>19</v>
      </c>
      <c r="B107" s="44">
        <f t="shared" ref="B107:K107" si="53">+B108+B109</f>
        <v>0</v>
      </c>
      <c r="C107" s="44">
        <f t="shared" si="53"/>
        <v>3892</v>
      </c>
      <c r="D107" s="44">
        <f t="shared" si="53"/>
        <v>0</v>
      </c>
      <c r="E107" s="44">
        <f t="shared" si="53"/>
        <v>3</v>
      </c>
      <c r="F107" s="44">
        <f t="shared" si="53"/>
        <v>3895</v>
      </c>
      <c r="G107" s="44">
        <f t="shared" si="53"/>
        <v>0</v>
      </c>
      <c r="H107" s="44">
        <f t="shared" si="53"/>
        <v>2303</v>
      </c>
      <c r="I107" s="44">
        <f t="shared" si="53"/>
        <v>0</v>
      </c>
      <c r="J107" s="44">
        <f t="shared" si="53"/>
        <v>0</v>
      </c>
      <c r="K107" s="44">
        <f t="shared" si="53"/>
        <v>2303</v>
      </c>
      <c r="L107" s="44">
        <f>+L108+L109</f>
        <v>0</v>
      </c>
      <c r="M107" s="44">
        <f>+M108+M109</f>
        <v>1589</v>
      </c>
      <c r="N107" s="44"/>
      <c r="O107" s="44">
        <f>+O108+O109</f>
        <v>3</v>
      </c>
      <c r="P107" s="45">
        <f>+P108+P109</f>
        <v>1592</v>
      </c>
      <c r="Q107" s="18"/>
    </row>
    <row r="108" spans="1:17" ht="12.75" customHeight="1">
      <c r="A108" s="23" t="s">
        <v>20</v>
      </c>
      <c r="B108" s="25"/>
      <c r="C108" s="25">
        <v>3892</v>
      </c>
      <c r="D108" s="25"/>
      <c r="E108" s="43">
        <v>3</v>
      </c>
      <c r="F108" s="24">
        <f>SUM(B108:E108)</f>
        <v>3895</v>
      </c>
      <c r="G108" s="29"/>
      <c r="H108" s="29">
        <v>2303</v>
      </c>
      <c r="I108" s="29"/>
      <c r="J108" s="29"/>
      <c r="K108" s="24">
        <f>SUM(G108:J108)</f>
        <v>2303</v>
      </c>
      <c r="L108" s="25">
        <f>+B108-G108</f>
        <v>0</v>
      </c>
      <c r="M108" s="25">
        <f>+C108-H108</f>
        <v>1589</v>
      </c>
      <c r="N108" s="25"/>
      <c r="O108" s="25">
        <f>+E108-J108</f>
        <v>3</v>
      </c>
      <c r="P108" s="26">
        <f>SUM(L108:O108)</f>
        <v>1592</v>
      </c>
      <c r="Q108" s="18"/>
    </row>
    <row r="109" spans="1:17" ht="12.75" customHeight="1">
      <c r="A109" s="23" t="s">
        <v>21</v>
      </c>
      <c r="B109" s="25"/>
      <c r="C109" s="25"/>
      <c r="D109" s="25"/>
      <c r="E109" s="43"/>
      <c r="F109" s="26">
        <f>SUM(B109:E109)</f>
        <v>0</v>
      </c>
      <c r="G109" s="29"/>
      <c r="H109" s="29"/>
      <c r="I109" s="29"/>
      <c r="J109" s="29"/>
      <c r="K109" s="24">
        <f>SUM(G109:J109)</f>
        <v>0</v>
      </c>
      <c r="L109" s="25">
        <f>+B109-G109</f>
        <v>0</v>
      </c>
      <c r="M109" s="25">
        <f>+C109-H109</f>
        <v>0</v>
      </c>
      <c r="N109" s="25"/>
      <c r="O109" s="25">
        <f>+E109-J109</f>
        <v>0</v>
      </c>
      <c r="P109" s="26">
        <f>SUM(L109:O109)</f>
        <v>0</v>
      </c>
      <c r="Q109" s="18"/>
    </row>
    <row r="110" spans="1:17" ht="12.75" customHeight="1">
      <c r="A110" s="23"/>
      <c r="B110" s="25"/>
      <c r="C110" s="25"/>
      <c r="D110" s="25"/>
      <c r="E110" s="43"/>
      <c r="F110" s="24"/>
      <c r="G110" s="47"/>
      <c r="H110" s="47"/>
      <c r="I110" s="47"/>
      <c r="J110" s="47"/>
      <c r="K110" s="32"/>
      <c r="L110" s="25"/>
      <c r="M110" s="25"/>
      <c r="N110" s="25"/>
      <c r="O110" s="25"/>
      <c r="P110" s="26"/>
      <c r="Q110" s="18"/>
    </row>
    <row r="111" spans="1:17" ht="12.75" customHeight="1">
      <c r="A111" s="41" t="s">
        <v>177</v>
      </c>
      <c r="B111" s="17">
        <f t="shared" ref="B111:K111" si="54">+B112+B116</f>
        <v>228007</v>
      </c>
      <c r="C111" s="17">
        <f t="shared" si="54"/>
        <v>88876</v>
      </c>
      <c r="D111" s="17">
        <f t="shared" si="54"/>
        <v>0</v>
      </c>
      <c r="E111" s="17">
        <f t="shared" si="54"/>
        <v>55962</v>
      </c>
      <c r="F111" s="17">
        <f t="shared" si="54"/>
        <v>372845</v>
      </c>
      <c r="G111" s="17">
        <f t="shared" si="54"/>
        <v>212329</v>
      </c>
      <c r="H111" s="17">
        <f t="shared" si="54"/>
        <v>81349</v>
      </c>
      <c r="I111" s="17">
        <f t="shared" si="54"/>
        <v>0</v>
      </c>
      <c r="J111" s="17">
        <f t="shared" si="54"/>
        <v>34386</v>
      </c>
      <c r="K111" s="17">
        <f t="shared" si="54"/>
        <v>328064</v>
      </c>
      <c r="L111" s="17">
        <f>+L112+L116</f>
        <v>15678</v>
      </c>
      <c r="M111" s="17">
        <f>+M112+M116</f>
        <v>7527</v>
      </c>
      <c r="N111" s="17"/>
      <c r="O111" s="17">
        <f>+O112+O116</f>
        <v>21576</v>
      </c>
      <c r="P111" s="17">
        <f>+P112+P116</f>
        <v>44781</v>
      </c>
      <c r="Q111" s="18">
        <f>+K111/F111</f>
        <v>0.87989378964449039</v>
      </c>
    </row>
    <row r="112" spans="1:17" ht="12.75" customHeight="1">
      <c r="A112" s="41" t="s">
        <v>15</v>
      </c>
      <c r="B112" s="62">
        <f t="shared" ref="B112:K112" si="55">+B113+B114+B115</f>
        <v>228007</v>
      </c>
      <c r="C112" s="62">
        <f t="shared" si="55"/>
        <v>88876</v>
      </c>
      <c r="D112" s="62">
        <f t="shared" si="55"/>
        <v>0</v>
      </c>
      <c r="E112" s="62">
        <f t="shared" si="55"/>
        <v>55962</v>
      </c>
      <c r="F112" s="62">
        <f t="shared" si="55"/>
        <v>372845</v>
      </c>
      <c r="G112" s="62">
        <f t="shared" si="55"/>
        <v>212329</v>
      </c>
      <c r="H112" s="62">
        <f t="shared" si="55"/>
        <v>81349</v>
      </c>
      <c r="I112" s="62">
        <f t="shared" si="55"/>
        <v>0</v>
      </c>
      <c r="J112" s="62">
        <f t="shared" si="55"/>
        <v>34386</v>
      </c>
      <c r="K112" s="62">
        <f t="shared" si="55"/>
        <v>328064</v>
      </c>
      <c r="L112" s="62">
        <f>+L113+L114+L115</f>
        <v>15678</v>
      </c>
      <c r="M112" s="62">
        <f>+M113+M114+M115</f>
        <v>7527</v>
      </c>
      <c r="N112" s="62"/>
      <c r="O112" s="62">
        <f>+O113+O114+O115</f>
        <v>21576</v>
      </c>
      <c r="P112" s="17">
        <f>+P113+P114+P115</f>
        <v>44781</v>
      </c>
      <c r="Q112" s="18"/>
    </row>
    <row r="113" spans="1:17" ht="12.75" customHeight="1">
      <c r="A113" s="22" t="s">
        <v>16</v>
      </c>
      <c r="B113" s="25">
        <v>189428</v>
      </c>
      <c r="C113" s="25"/>
      <c r="D113" s="25"/>
      <c r="E113" s="43"/>
      <c r="F113" s="24">
        <f>SUM(B113:E113)</f>
        <v>189428</v>
      </c>
      <c r="G113" s="29">
        <v>183793</v>
      </c>
      <c r="H113" s="29"/>
      <c r="I113" s="29"/>
      <c r="J113" s="29"/>
      <c r="K113" s="24">
        <f>SUM(G113:J113)</f>
        <v>183793</v>
      </c>
      <c r="L113" s="25">
        <f t="shared" ref="L113:M115" si="56">+B113-G113</f>
        <v>5635</v>
      </c>
      <c r="M113" s="25">
        <f t="shared" si="56"/>
        <v>0</v>
      </c>
      <c r="N113" s="25"/>
      <c r="O113" s="25">
        <f>+E113-J113</f>
        <v>0</v>
      </c>
      <c r="P113" s="26">
        <f>SUM(L113:O113)</f>
        <v>5635</v>
      </c>
      <c r="Q113" s="18"/>
    </row>
    <row r="114" spans="1:17" ht="12.75" customHeight="1">
      <c r="A114" s="22" t="s">
        <v>17</v>
      </c>
      <c r="B114" s="25">
        <v>11277</v>
      </c>
      <c r="C114" s="25"/>
      <c r="D114" s="25"/>
      <c r="E114" s="43"/>
      <c r="F114" s="24">
        <f>SUM(B114:E114)</f>
        <v>11277</v>
      </c>
      <c r="G114" s="29">
        <v>11271</v>
      </c>
      <c r="H114" s="29"/>
      <c r="I114" s="29"/>
      <c r="J114" s="29"/>
      <c r="K114" s="24">
        <f>SUM(G114:J114)</f>
        <v>11271</v>
      </c>
      <c r="L114" s="25">
        <f t="shared" si="56"/>
        <v>6</v>
      </c>
      <c r="M114" s="25">
        <f t="shared" si="56"/>
        <v>0</v>
      </c>
      <c r="N114" s="25"/>
      <c r="O114" s="25">
        <f>+E114-J114</f>
        <v>0</v>
      </c>
      <c r="P114" s="26">
        <f>SUM(L114:O114)</f>
        <v>6</v>
      </c>
      <c r="Q114" s="18"/>
    </row>
    <row r="115" spans="1:17" ht="12.75" customHeight="1">
      <c r="A115" s="22" t="s">
        <v>18</v>
      </c>
      <c r="B115" s="25">
        <v>27302</v>
      </c>
      <c r="C115" s="25">
        <v>88876</v>
      </c>
      <c r="D115" s="25"/>
      <c r="E115" s="43">
        <v>55962</v>
      </c>
      <c r="F115" s="24">
        <f>SUM(B115:E115)</f>
        <v>172140</v>
      </c>
      <c r="G115" s="29">
        <v>17265</v>
      </c>
      <c r="H115" s="29">
        <v>81349</v>
      </c>
      <c r="I115" s="29"/>
      <c r="J115" s="29">
        <v>34386</v>
      </c>
      <c r="K115" s="24">
        <f>SUM(G115:J115)</f>
        <v>133000</v>
      </c>
      <c r="L115" s="25">
        <f t="shared" si="56"/>
        <v>10037</v>
      </c>
      <c r="M115" s="25">
        <f t="shared" si="56"/>
        <v>7527</v>
      </c>
      <c r="N115" s="25"/>
      <c r="O115" s="25">
        <f>+E115-J115</f>
        <v>21576</v>
      </c>
      <c r="P115" s="26">
        <f>SUM(L115:O115)</f>
        <v>39140</v>
      </c>
      <c r="Q115" s="18"/>
    </row>
    <row r="116" spans="1:17" ht="12.75" customHeight="1">
      <c r="A116" s="22" t="s">
        <v>19</v>
      </c>
      <c r="B116" s="44">
        <f t="shared" ref="B116:K116" si="57">+B117+B118</f>
        <v>0</v>
      </c>
      <c r="C116" s="44">
        <f t="shared" si="57"/>
        <v>0</v>
      </c>
      <c r="D116" s="44">
        <f t="shared" si="57"/>
        <v>0</v>
      </c>
      <c r="E116" s="44">
        <f t="shared" si="57"/>
        <v>0</v>
      </c>
      <c r="F116" s="44">
        <f t="shared" si="57"/>
        <v>0</v>
      </c>
      <c r="G116" s="44">
        <f t="shared" si="57"/>
        <v>0</v>
      </c>
      <c r="H116" s="44">
        <f t="shared" si="57"/>
        <v>0</v>
      </c>
      <c r="I116" s="44">
        <f t="shared" si="57"/>
        <v>0</v>
      </c>
      <c r="J116" s="44">
        <f t="shared" si="57"/>
        <v>0</v>
      </c>
      <c r="K116" s="44">
        <f t="shared" si="57"/>
        <v>0</v>
      </c>
      <c r="L116" s="44">
        <f>+L117+L118</f>
        <v>0</v>
      </c>
      <c r="M116" s="44">
        <f>+M117+M118</f>
        <v>0</v>
      </c>
      <c r="N116" s="44"/>
      <c r="O116" s="44">
        <f>+O117+O118</f>
        <v>0</v>
      </c>
      <c r="P116" s="45">
        <f>+P117+P118</f>
        <v>0</v>
      </c>
      <c r="Q116" s="18"/>
    </row>
    <row r="117" spans="1:17" ht="12.75" customHeight="1">
      <c r="A117" s="23" t="s">
        <v>20</v>
      </c>
      <c r="B117" s="25"/>
      <c r="C117" s="25"/>
      <c r="D117" s="25"/>
      <c r="E117" s="43"/>
      <c r="F117" s="24">
        <f>SUM(B117:E117)</f>
        <v>0</v>
      </c>
      <c r="G117" s="29"/>
      <c r="H117" s="29"/>
      <c r="I117" s="29"/>
      <c r="J117" s="29"/>
      <c r="K117" s="24">
        <f>SUM(G117:J117)</f>
        <v>0</v>
      </c>
      <c r="L117" s="25">
        <f>+B117-G117</f>
        <v>0</v>
      </c>
      <c r="M117" s="25">
        <f>+C117-H117</f>
        <v>0</v>
      </c>
      <c r="N117" s="25"/>
      <c r="O117" s="25">
        <f>+E117-J117</f>
        <v>0</v>
      </c>
      <c r="P117" s="26">
        <f>SUM(L117:O117)</f>
        <v>0</v>
      </c>
      <c r="Q117" s="18"/>
    </row>
    <row r="118" spans="1:17" ht="12.75" customHeight="1">
      <c r="A118" s="23" t="s">
        <v>21</v>
      </c>
      <c r="B118" s="25"/>
      <c r="C118" s="25"/>
      <c r="D118" s="25"/>
      <c r="E118" s="43"/>
      <c r="F118" s="24">
        <f>SUM(B118:E118)</f>
        <v>0</v>
      </c>
      <c r="G118" s="29"/>
      <c r="H118" s="29"/>
      <c r="I118" s="29"/>
      <c r="J118" s="29"/>
      <c r="K118" s="24">
        <f>SUM(G118:J118)</f>
        <v>0</v>
      </c>
      <c r="L118" s="25">
        <f>+B118-G118</f>
        <v>0</v>
      </c>
      <c r="M118" s="25">
        <f>+C118-H118</f>
        <v>0</v>
      </c>
      <c r="N118" s="25"/>
      <c r="O118" s="25">
        <f>+E118-J118</f>
        <v>0</v>
      </c>
      <c r="P118" s="26">
        <f>SUM(L118:O118)</f>
        <v>0</v>
      </c>
      <c r="Q118" s="18"/>
    </row>
    <row r="119" spans="1:17" ht="12.75" customHeight="1">
      <c r="A119" s="22"/>
      <c r="B119" s="25"/>
      <c r="C119" s="25"/>
      <c r="D119" s="25"/>
      <c r="E119" s="43"/>
      <c r="F119" s="24"/>
      <c r="G119" s="25"/>
      <c r="H119" s="25"/>
      <c r="I119" s="25"/>
      <c r="J119" s="25"/>
      <c r="K119" s="24"/>
      <c r="L119" s="25"/>
      <c r="M119" s="25"/>
      <c r="N119" s="25"/>
      <c r="O119" s="25"/>
      <c r="P119" s="26"/>
      <c r="Q119" s="18"/>
    </row>
    <row r="120" spans="1:17" ht="12.75" customHeight="1">
      <c r="A120" s="41" t="s">
        <v>178</v>
      </c>
      <c r="B120" s="17">
        <f t="shared" ref="B120:K120" si="58">+B121+B125</f>
        <v>51769</v>
      </c>
      <c r="C120" s="17">
        <f t="shared" si="58"/>
        <v>71671</v>
      </c>
      <c r="D120" s="17">
        <f t="shared" si="58"/>
        <v>0</v>
      </c>
      <c r="E120" s="17">
        <f t="shared" si="58"/>
        <v>22576</v>
      </c>
      <c r="F120" s="17">
        <f t="shared" si="58"/>
        <v>146016</v>
      </c>
      <c r="G120" s="17">
        <f t="shared" si="58"/>
        <v>48335</v>
      </c>
      <c r="H120" s="17">
        <f t="shared" si="58"/>
        <v>62135</v>
      </c>
      <c r="I120" s="17">
        <f t="shared" si="58"/>
        <v>0</v>
      </c>
      <c r="J120" s="17">
        <f t="shared" si="58"/>
        <v>754</v>
      </c>
      <c r="K120" s="17">
        <f t="shared" si="58"/>
        <v>111224</v>
      </c>
      <c r="L120" s="17">
        <f>+L121+L125</f>
        <v>3434</v>
      </c>
      <c r="M120" s="17">
        <f>+M121+M125</f>
        <v>9536</v>
      </c>
      <c r="N120" s="17"/>
      <c r="O120" s="17">
        <f>+O121+O125</f>
        <v>21822</v>
      </c>
      <c r="P120" s="17">
        <f>+P121+P125</f>
        <v>34792</v>
      </c>
      <c r="Q120" s="18">
        <f>+K120/F120</f>
        <v>0.76172474249397326</v>
      </c>
    </row>
    <row r="121" spans="1:17" ht="12.75" customHeight="1">
      <c r="A121" s="41" t="s">
        <v>15</v>
      </c>
      <c r="B121" s="62">
        <f t="shared" ref="B121:K121" si="59">+B122+B123+B124</f>
        <v>51769</v>
      </c>
      <c r="C121" s="62">
        <f t="shared" si="59"/>
        <v>70606</v>
      </c>
      <c r="D121" s="62">
        <f t="shared" si="59"/>
        <v>0</v>
      </c>
      <c r="E121" s="62">
        <f t="shared" si="59"/>
        <v>1076</v>
      </c>
      <c r="F121" s="62">
        <f t="shared" si="59"/>
        <v>123451</v>
      </c>
      <c r="G121" s="62">
        <f t="shared" si="59"/>
        <v>48335</v>
      </c>
      <c r="H121" s="62">
        <f t="shared" si="59"/>
        <v>62135</v>
      </c>
      <c r="I121" s="62">
        <f t="shared" si="59"/>
        <v>0</v>
      </c>
      <c r="J121" s="62">
        <f t="shared" si="59"/>
        <v>754</v>
      </c>
      <c r="K121" s="62">
        <f t="shared" si="59"/>
        <v>111224</v>
      </c>
      <c r="L121" s="62">
        <f>+L122+L123+L124</f>
        <v>3434</v>
      </c>
      <c r="M121" s="62">
        <f>+M122+M123+M124</f>
        <v>8471</v>
      </c>
      <c r="N121" s="62"/>
      <c r="O121" s="62">
        <f>+O122+O123+O124</f>
        <v>322</v>
      </c>
      <c r="P121" s="17">
        <f>+P122+P123+P124</f>
        <v>12227</v>
      </c>
      <c r="Q121" s="18"/>
    </row>
    <row r="122" spans="1:17" ht="12.75" customHeight="1">
      <c r="A122" s="22" t="s">
        <v>16</v>
      </c>
      <c r="B122" s="25">
        <v>47993</v>
      </c>
      <c r="C122" s="25">
        <v>70606</v>
      </c>
      <c r="D122" s="25"/>
      <c r="E122" s="43">
        <v>1076</v>
      </c>
      <c r="F122" s="24">
        <f>SUM(B122:E122)</f>
        <v>119675</v>
      </c>
      <c r="G122" s="29">
        <v>44793</v>
      </c>
      <c r="H122" s="29">
        <v>62135</v>
      </c>
      <c r="I122" s="29"/>
      <c r="J122" s="29">
        <v>754</v>
      </c>
      <c r="K122" s="24">
        <f>SUM(G122:J122)</f>
        <v>107682</v>
      </c>
      <c r="L122" s="25">
        <f t="shared" ref="L122:M124" si="60">+B122-G122</f>
        <v>3200</v>
      </c>
      <c r="M122" s="25">
        <f t="shared" si="60"/>
        <v>8471</v>
      </c>
      <c r="N122" s="25"/>
      <c r="O122" s="25">
        <f>+E122-J122</f>
        <v>322</v>
      </c>
      <c r="P122" s="26">
        <f>SUM(L122:O122)</f>
        <v>11993</v>
      </c>
      <c r="Q122" s="18"/>
    </row>
    <row r="123" spans="1:17" ht="12.75" customHeight="1">
      <c r="A123" s="22" t="s">
        <v>17</v>
      </c>
      <c r="B123" s="25">
        <v>420</v>
      </c>
      <c r="C123" s="25"/>
      <c r="D123" s="25"/>
      <c r="E123" s="43"/>
      <c r="F123" s="24">
        <f>SUM(B123:E123)</f>
        <v>420</v>
      </c>
      <c r="G123" s="29">
        <v>350</v>
      </c>
      <c r="H123" s="34"/>
      <c r="I123" s="34"/>
      <c r="J123" s="34"/>
      <c r="K123" s="24">
        <f>SUM(G123:J123)</f>
        <v>350</v>
      </c>
      <c r="L123" s="25">
        <f t="shared" si="60"/>
        <v>70</v>
      </c>
      <c r="M123" s="25">
        <f t="shared" si="60"/>
        <v>0</v>
      </c>
      <c r="N123" s="25"/>
      <c r="O123" s="25">
        <f>+E123-J123</f>
        <v>0</v>
      </c>
      <c r="P123" s="26">
        <f>SUM(L123:O123)</f>
        <v>70</v>
      </c>
      <c r="Q123" s="18"/>
    </row>
    <row r="124" spans="1:17" ht="12.75" customHeight="1">
      <c r="A124" s="22" t="s">
        <v>18</v>
      </c>
      <c r="B124" s="25">
        <v>3356</v>
      </c>
      <c r="C124" s="25"/>
      <c r="D124" s="25"/>
      <c r="E124" s="43"/>
      <c r="F124" s="24">
        <f>SUM(B124:E124)</f>
        <v>3356</v>
      </c>
      <c r="G124" s="29">
        <v>3192</v>
      </c>
      <c r="H124" s="34"/>
      <c r="I124" s="34"/>
      <c r="J124" s="34"/>
      <c r="K124" s="24">
        <f>SUM(G124:J124)</f>
        <v>3192</v>
      </c>
      <c r="L124" s="25">
        <f t="shared" si="60"/>
        <v>164</v>
      </c>
      <c r="M124" s="25">
        <f t="shared" si="60"/>
        <v>0</v>
      </c>
      <c r="N124" s="25"/>
      <c r="O124" s="25">
        <f>+E124-J124</f>
        <v>0</v>
      </c>
      <c r="P124" s="26">
        <f>SUM(L124:O124)</f>
        <v>164</v>
      </c>
      <c r="Q124" s="18"/>
    </row>
    <row r="125" spans="1:17" ht="12.75" customHeight="1">
      <c r="A125" s="22" t="s">
        <v>19</v>
      </c>
      <c r="B125" s="44">
        <f t="shared" ref="B125:K125" si="61">+B126+B127</f>
        <v>0</v>
      </c>
      <c r="C125" s="44">
        <f t="shared" si="61"/>
        <v>1065</v>
      </c>
      <c r="D125" s="44">
        <f t="shared" si="61"/>
        <v>0</v>
      </c>
      <c r="E125" s="44">
        <f t="shared" si="61"/>
        <v>21500</v>
      </c>
      <c r="F125" s="44">
        <f t="shared" si="61"/>
        <v>22565</v>
      </c>
      <c r="G125" s="44">
        <f t="shared" si="61"/>
        <v>0</v>
      </c>
      <c r="H125" s="44">
        <f t="shared" si="61"/>
        <v>0</v>
      </c>
      <c r="I125" s="44">
        <f t="shared" si="61"/>
        <v>0</v>
      </c>
      <c r="J125" s="44">
        <f t="shared" si="61"/>
        <v>0</v>
      </c>
      <c r="K125" s="44">
        <f t="shared" si="61"/>
        <v>0</v>
      </c>
      <c r="L125" s="44">
        <f>+L126+L127</f>
        <v>0</v>
      </c>
      <c r="M125" s="44">
        <f>+M126+M127</f>
        <v>1065</v>
      </c>
      <c r="N125" s="44"/>
      <c r="O125" s="44">
        <f>+O126+O127</f>
        <v>21500</v>
      </c>
      <c r="P125" s="45">
        <f>+P126+P127</f>
        <v>22565</v>
      </c>
      <c r="Q125" s="18"/>
    </row>
    <row r="126" spans="1:17" ht="12.75" customHeight="1">
      <c r="A126" s="23" t="s">
        <v>20</v>
      </c>
      <c r="B126" s="25"/>
      <c r="C126" s="25">
        <v>1065</v>
      </c>
      <c r="D126" s="25"/>
      <c r="E126" s="43">
        <v>21500</v>
      </c>
      <c r="F126" s="24">
        <f>SUM(B126:E126)</f>
        <v>22565</v>
      </c>
      <c r="G126" s="29"/>
      <c r="H126" s="29"/>
      <c r="I126" s="29"/>
      <c r="J126" s="29"/>
      <c r="K126" s="24">
        <f>SUM(G126:J126)</f>
        <v>0</v>
      </c>
      <c r="L126" s="25">
        <f>+B126-G126</f>
        <v>0</v>
      </c>
      <c r="M126" s="25">
        <f>+C126-H126</f>
        <v>1065</v>
      </c>
      <c r="N126" s="25"/>
      <c r="O126" s="25">
        <f>+E126-J126</f>
        <v>21500</v>
      </c>
      <c r="P126" s="26">
        <f>SUM(L126:O126)</f>
        <v>22565</v>
      </c>
      <c r="Q126" s="18"/>
    </row>
    <row r="127" spans="1:17" ht="12.75" customHeight="1">
      <c r="A127" s="23" t="s">
        <v>21</v>
      </c>
      <c r="B127" s="25"/>
      <c r="C127" s="25"/>
      <c r="D127" s="25"/>
      <c r="E127" s="43"/>
      <c r="F127" s="24">
        <f>SUM(B127:E127)</f>
        <v>0</v>
      </c>
      <c r="G127" s="29"/>
      <c r="H127" s="29"/>
      <c r="I127" s="29"/>
      <c r="J127" s="29"/>
      <c r="K127" s="24">
        <f>SUM(G127:J127)</f>
        <v>0</v>
      </c>
      <c r="L127" s="25">
        <f>+B127-G127</f>
        <v>0</v>
      </c>
      <c r="M127" s="25">
        <f>+C127-H127</f>
        <v>0</v>
      </c>
      <c r="N127" s="25"/>
      <c r="O127" s="25">
        <f>+E127-J127</f>
        <v>0</v>
      </c>
      <c r="P127" s="26">
        <f>SUM(L127:O127)</f>
        <v>0</v>
      </c>
      <c r="Q127" s="18"/>
    </row>
    <row r="128" spans="1:17" ht="12.75" customHeight="1">
      <c r="A128" s="22"/>
      <c r="B128" s="25"/>
      <c r="C128" s="25"/>
      <c r="D128" s="25"/>
      <c r="E128" s="43"/>
      <c r="F128" s="24"/>
      <c r="G128" s="47"/>
      <c r="H128" s="47"/>
      <c r="I128" s="47"/>
      <c r="J128" s="47"/>
      <c r="K128" s="32"/>
      <c r="L128" s="25"/>
      <c r="M128" s="25"/>
      <c r="N128" s="25"/>
      <c r="O128" s="25"/>
      <c r="P128" s="26"/>
      <c r="Q128" s="18"/>
    </row>
    <row r="129" spans="1:17" ht="12.75" customHeight="1">
      <c r="A129" s="42" t="s">
        <v>179</v>
      </c>
      <c r="B129" s="17">
        <f t="shared" ref="B129:K129" si="62">+B130+B134</f>
        <v>42055</v>
      </c>
      <c r="C129" s="17">
        <f t="shared" si="62"/>
        <v>69614</v>
      </c>
      <c r="D129" s="17">
        <f t="shared" si="62"/>
        <v>0</v>
      </c>
      <c r="E129" s="17">
        <f t="shared" si="62"/>
        <v>243</v>
      </c>
      <c r="F129" s="17">
        <f t="shared" si="62"/>
        <v>111912</v>
      </c>
      <c r="G129" s="17">
        <f t="shared" si="62"/>
        <v>42055</v>
      </c>
      <c r="H129" s="17">
        <f t="shared" si="62"/>
        <v>69614</v>
      </c>
      <c r="I129" s="17">
        <f t="shared" si="62"/>
        <v>0</v>
      </c>
      <c r="J129" s="17">
        <f t="shared" si="62"/>
        <v>154</v>
      </c>
      <c r="K129" s="17">
        <f t="shared" si="62"/>
        <v>111823</v>
      </c>
      <c r="L129" s="17">
        <f>+L130+L134</f>
        <v>0</v>
      </c>
      <c r="M129" s="17">
        <f>+M130+M134</f>
        <v>0</v>
      </c>
      <c r="N129" s="17"/>
      <c r="O129" s="17">
        <f>+O130+O134</f>
        <v>89</v>
      </c>
      <c r="P129" s="17">
        <f>+P130+P134</f>
        <v>89</v>
      </c>
      <c r="Q129" s="18">
        <f>+K129/F129</f>
        <v>0.99920473228965612</v>
      </c>
    </row>
    <row r="130" spans="1:17" ht="12.75" customHeight="1">
      <c r="A130" s="41" t="s">
        <v>15</v>
      </c>
      <c r="B130" s="62">
        <f t="shared" ref="B130:K130" si="63">+B131+B132+B133</f>
        <v>42055</v>
      </c>
      <c r="C130" s="62">
        <f t="shared" si="63"/>
        <v>68449</v>
      </c>
      <c r="D130" s="62">
        <f t="shared" si="63"/>
        <v>0</v>
      </c>
      <c r="E130" s="62">
        <f t="shared" si="63"/>
        <v>0</v>
      </c>
      <c r="F130" s="62">
        <f t="shared" si="63"/>
        <v>110504</v>
      </c>
      <c r="G130" s="62">
        <f t="shared" si="63"/>
        <v>42055</v>
      </c>
      <c r="H130" s="62">
        <f t="shared" si="63"/>
        <v>68449</v>
      </c>
      <c r="I130" s="62">
        <f t="shared" si="63"/>
        <v>0</v>
      </c>
      <c r="J130" s="62">
        <f t="shared" si="63"/>
        <v>0</v>
      </c>
      <c r="K130" s="62">
        <f t="shared" si="63"/>
        <v>110504</v>
      </c>
      <c r="L130" s="62">
        <f>+L131+L132+L133</f>
        <v>0</v>
      </c>
      <c r="M130" s="62">
        <f>+M131+M132+M133</f>
        <v>0</v>
      </c>
      <c r="N130" s="62"/>
      <c r="O130" s="62">
        <f>+O131+O132+O133</f>
        <v>0</v>
      </c>
      <c r="P130" s="17">
        <f>+P131+P132+P133</f>
        <v>0</v>
      </c>
      <c r="Q130" s="18"/>
    </row>
    <row r="131" spans="1:17" ht="12.75" customHeight="1">
      <c r="A131" s="22" t="s">
        <v>16</v>
      </c>
      <c r="B131" s="25">
        <v>37905</v>
      </c>
      <c r="C131" s="25">
        <v>60902</v>
      </c>
      <c r="D131" s="25"/>
      <c r="E131" s="43"/>
      <c r="F131" s="24">
        <f>SUM(B131:E131)</f>
        <v>98807</v>
      </c>
      <c r="G131" s="29">
        <f>42292-3144-1006-237</f>
        <v>37905</v>
      </c>
      <c r="H131" s="29">
        <f>57990+237+2675</f>
        <v>60902</v>
      </c>
      <c r="I131" s="29"/>
      <c r="J131" s="29"/>
      <c r="K131" s="24">
        <f>SUM(G131:J131)</f>
        <v>98807</v>
      </c>
      <c r="L131" s="25">
        <f t="shared" ref="L131:M133" si="64">+B131-G131</f>
        <v>0</v>
      </c>
      <c r="M131" s="25">
        <f t="shared" si="64"/>
        <v>0</v>
      </c>
      <c r="N131" s="25"/>
      <c r="O131" s="25">
        <f>+E131-J131</f>
        <v>0</v>
      </c>
      <c r="P131" s="26">
        <f>SUM(L131:O131)</f>
        <v>0</v>
      </c>
      <c r="Q131" s="18"/>
    </row>
    <row r="132" spans="1:17" ht="12.75" customHeight="1">
      <c r="A132" s="22" t="s">
        <v>17</v>
      </c>
      <c r="B132" s="25">
        <v>1006</v>
      </c>
      <c r="C132" s="25">
        <v>7547</v>
      </c>
      <c r="D132" s="25"/>
      <c r="E132" s="43"/>
      <c r="F132" s="24">
        <f>SUM(B132:E132)</f>
        <v>8553</v>
      </c>
      <c r="G132" s="29">
        <v>1006</v>
      </c>
      <c r="H132" s="29">
        <f>11368-2675-992-154</f>
        <v>7547</v>
      </c>
      <c r="I132" s="29"/>
      <c r="J132" s="34"/>
      <c r="K132" s="24">
        <f>SUM(G132:J132)</f>
        <v>8553</v>
      </c>
      <c r="L132" s="25">
        <f t="shared" si="64"/>
        <v>0</v>
      </c>
      <c r="M132" s="25">
        <f t="shared" si="64"/>
        <v>0</v>
      </c>
      <c r="N132" s="25"/>
      <c r="O132" s="25">
        <f>+E132-J132</f>
        <v>0</v>
      </c>
      <c r="P132" s="26">
        <f>SUM(L132:O132)</f>
        <v>0</v>
      </c>
      <c r="Q132" s="18"/>
    </row>
    <row r="133" spans="1:17" ht="12.75" customHeight="1">
      <c r="A133" s="22" t="s">
        <v>18</v>
      </c>
      <c r="B133" s="25">
        <v>3144</v>
      </c>
      <c r="C133" s="25"/>
      <c r="D133" s="25"/>
      <c r="E133" s="43"/>
      <c r="F133" s="24">
        <f>SUM(B133:E133)</f>
        <v>3144</v>
      </c>
      <c r="G133" s="29">
        <v>3144</v>
      </c>
      <c r="H133" s="34"/>
      <c r="I133" s="34"/>
      <c r="J133" s="34"/>
      <c r="K133" s="24">
        <f>SUM(G133:J133)</f>
        <v>3144</v>
      </c>
      <c r="L133" s="25">
        <f t="shared" si="64"/>
        <v>0</v>
      </c>
      <c r="M133" s="25">
        <f t="shared" si="64"/>
        <v>0</v>
      </c>
      <c r="N133" s="25"/>
      <c r="O133" s="25">
        <f>+E133-J133</f>
        <v>0</v>
      </c>
      <c r="P133" s="26">
        <f>SUM(L133:O133)</f>
        <v>0</v>
      </c>
      <c r="Q133" s="18"/>
    </row>
    <row r="134" spans="1:17" ht="12.75" customHeight="1">
      <c r="A134" s="22" t="s">
        <v>19</v>
      </c>
      <c r="B134" s="44">
        <f t="shared" ref="B134:K134" si="65">+B135+B136</f>
        <v>0</v>
      </c>
      <c r="C134" s="44">
        <f t="shared" si="65"/>
        <v>1165</v>
      </c>
      <c r="D134" s="44">
        <f t="shared" si="65"/>
        <v>0</v>
      </c>
      <c r="E134" s="44">
        <f t="shared" si="65"/>
        <v>243</v>
      </c>
      <c r="F134" s="44">
        <f t="shared" si="65"/>
        <v>1408</v>
      </c>
      <c r="G134" s="44">
        <f t="shared" si="65"/>
        <v>0</v>
      </c>
      <c r="H134" s="44">
        <f t="shared" si="65"/>
        <v>1165</v>
      </c>
      <c r="I134" s="44">
        <f t="shared" si="65"/>
        <v>0</v>
      </c>
      <c r="J134" s="44">
        <f t="shared" si="65"/>
        <v>154</v>
      </c>
      <c r="K134" s="44">
        <f t="shared" si="65"/>
        <v>1319</v>
      </c>
      <c r="L134" s="44">
        <f>+L135+L136</f>
        <v>0</v>
      </c>
      <c r="M134" s="44">
        <f>+M135+M136</f>
        <v>0</v>
      </c>
      <c r="N134" s="44"/>
      <c r="O134" s="44">
        <f>+O135+O136</f>
        <v>89</v>
      </c>
      <c r="P134" s="45">
        <f>+P135+P136</f>
        <v>89</v>
      </c>
      <c r="Q134" s="18"/>
    </row>
    <row r="135" spans="1:17" ht="12.75" customHeight="1">
      <c r="A135" s="23" t="s">
        <v>20</v>
      </c>
      <c r="B135" s="25"/>
      <c r="C135" s="25">
        <v>1165</v>
      </c>
      <c r="D135" s="25"/>
      <c r="E135" s="43">
        <v>243</v>
      </c>
      <c r="F135" s="24">
        <f>SUM(B135:E135)</f>
        <v>1408</v>
      </c>
      <c r="G135" s="29"/>
      <c r="H135" s="29">
        <f>12+161+992</f>
        <v>1165</v>
      </c>
      <c r="I135" s="29"/>
      <c r="J135" s="29">
        <v>154</v>
      </c>
      <c r="K135" s="24">
        <f>SUM(G135:J135)</f>
        <v>1319</v>
      </c>
      <c r="L135" s="25">
        <f>+B135-G135</f>
        <v>0</v>
      </c>
      <c r="M135" s="25">
        <f>+C135-H135</f>
        <v>0</v>
      </c>
      <c r="N135" s="25"/>
      <c r="O135" s="25">
        <f>+E135-J135</f>
        <v>89</v>
      </c>
      <c r="P135" s="26">
        <f>SUM(L135:O135)</f>
        <v>89</v>
      </c>
      <c r="Q135" s="18"/>
    </row>
    <row r="136" spans="1:17" ht="12.75" customHeight="1">
      <c r="A136" s="23" t="s">
        <v>21</v>
      </c>
      <c r="B136" s="25"/>
      <c r="C136" s="25"/>
      <c r="D136" s="25"/>
      <c r="E136" s="43"/>
      <c r="F136" s="24">
        <f>SUM(B136:E136)</f>
        <v>0</v>
      </c>
      <c r="G136" s="29"/>
      <c r="H136" s="29"/>
      <c r="I136" s="29"/>
      <c r="J136" s="29"/>
      <c r="K136" s="24">
        <f>SUM(G136:J136)</f>
        <v>0</v>
      </c>
      <c r="L136" s="25">
        <f>+B136-G136</f>
        <v>0</v>
      </c>
      <c r="M136" s="25">
        <f>+C136-H136</f>
        <v>0</v>
      </c>
      <c r="N136" s="25"/>
      <c r="O136" s="25">
        <f>+E136-J136</f>
        <v>0</v>
      </c>
      <c r="P136" s="26">
        <f>SUM(L136:O136)</f>
        <v>0</v>
      </c>
      <c r="Q136" s="18"/>
    </row>
    <row r="137" spans="1:17" ht="12.75" customHeight="1">
      <c r="A137" s="22"/>
      <c r="B137" s="25"/>
      <c r="C137" s="25"/>
      <c r="D137" s="25"/>
      <c r="E137" s="43"/>
      <c r="F137" s="24"/>
      <c r="G137" s="47"/>
      <c r="H137" s="47"/>
      <c r="I137" s="47"/>
      <c r="J137" s="47"/>
      <c r="K137" s="32"/>
      <c r="L137" s="25"/>
      <c r="M137" s="25"/>
      <c r="N137" s="25"/>
      <c r="O137" s="25"/>
      <c r="P137" s="26"/>
      <c r="Q137" s="18"/>
    </row>
    <row r="138" spans="1:17" ht="12.75" customHeight="1">
      <c r="A138" s="41" t="s">
        <v>180</v>
      </c>
      <c r="B138" s="17">
        <f t="shared" ref="B138:K138" si="66">+B139+B143</f>
        <v>28609</v>
      </c>
      <c r="C138" s="17">
        <f t="shared" si="66"/>
        <v>43265</v>
      </c>
      <c r="D138" s="17">
        <f t="shared" si="66"/>
        <v>0</v>
      </c>
      <c r="E138" s="17">
        <f t="shared" si="66"/>
        <v>21728</v>
      </c>
      <c r="F138" s="17">
        <f t="shared" si="66"/>
        <v>93602</v>
      </c>
      <c r="G138" s="17">
        <f t="shared" si="66"/>
        <v>28607</v>
      </c>
      <c r="H138" s="17">
        <f t="shared" si="66"/>
        <v>43257</v>
      </c>
      <c r="I138" s="17">
        <f t="shared" si="66"/>
        <v>0</v>
      </c>
      <c r="J138" s="17">
        <f t="shared" si="66"/>
        <v>21723</v>
      </c>
      <c r="K138" s="17">
        <f t="shared" si="66"/>
        <v>93587</v>
      </c>
      <c r="L138" s="17">
        <f>+L139+L143</f>
        <v>2</v>
      </c>
      <c r="M138" s="17">
        <f>+M139+M143</f>
        <v>8</v>
      </c>
      <c r="N138" s="17"/>
      <c r="O138" s="17">
        <f>+O139+O143</f>
        <v>5</v>
      </c>
      <c r="P138" s="17">
        <f>+P139+P143</f>
        <v>15</v>
      </c>
      <c r="Q138" s="18">
        <f>+K138/F138</f>
        <v>0.99983974701395273</v>
      </c>
    </row>
    <row r="139" spans="1:17" ht="12.75" customHeight="1">
      <c r="A139" s="41" t="s">
        <v>15</v>
      </c>
      <c r="B139" s="62">
        <f t="shared" ref="B139:K139" si="67">+B140+B141+B142</f>
        <v>28609</v>
      </c>
      <c r="C139" s="62">
        <f t="shared" si="67"/>
        <v>43265</v>
      </c>
      <c r="D139" s="62">
        <f t="shared" si="67"/>
        <v>0</v>
      </c>
      <c r="E139" s="62">
        <f t="shared" si="67"/>
        <v>21728</v>
      </c>
      <c r="F139" s="62">
        <f t="shared" si="67"/>
        <v>93602</v>
      </c>
      <c r="G139" s="62">
        <f t="shared" si="67"/>
        <v>28607</v>
      </c>
      <c r="H139" s="62">
        <f t="shared" si="67"/>
        <v>43257</v>
      </c>
      <c r="I139" s="62">
        <f t="shared" si="67"/>
        <v>0</v>
      </c>
      <c r="J139" s="62">
        <f t="shared" si="67"/>
        <v>21723</v>
      </c>
      <c r="K139" s="62">
        <f t="shared" si="67"/>
        <v>93587</v>
      </c>
      <c r="L139" s="62">
        <f>+L140+L141+L142</f>
        <v>2</v>
      </c>
      <c r="M139" s="62">
        <f>+M140+M141+M142</f>
        <v>8</v>
      </c>
      <c r="N139" s="62"/>
      <c r="O139" s="62">
        <f>+O140+O141+O142</f>
        <v>5</v>
      </c>
      <c r="P139" s="17">
        <f>+P140+P141+P142</f>
        <v>15</v>
      </c>
      <c r="Q139" s="18"/>
    </row>
    <row r="140" spans="1:17" ht="12.75" customHeight="1">
      <c r="A140" s="22" t="s">
        <v>16</v>
      </c>
      <c r="B140" s="25">
        <v>25236</v>
      </c>
      <c r="C140" s="25">
        <f>-1950+1950</f>
        <v>0</v>
      </c>
      <c r="D140" s="25"/>
      <c r="E140" s="43"/>
      <c r="F140" s="24">
        <f>SUM(B140:E140)</f>
        <v>25236</v>
      </c>
      <c r="G140" s="29">
        <f>28607-1739-1632</f>
        <v>25236</v>
      </c>
      <c r="H140" s="29"/>
      <c r="I140" s="29"/>
      <c r="J140" s="29"/>
      <c r="K140" s="24">
        <f>SUM(G140:J140)</f>
        <v>25236</v>
      </c>
      <c r="L140" s="25">
        <f t="shared" ref="L140:M142" si="68">+B140-G140</f>
        <v>0</v>
      </c>
      <c r="M140" s="25">
        <f t="shared" si="68"/>
        <v>0</v>
      </c>
      <c r="N140" s="25"/>
      <c r="O140" s="25">
        <f>+E140-J140</f>
        <v>0</v>
      </c>
      <c r="P140" s="26">
        <f>SUM(L140:O140)</f>
        <v>0</v>
      </c>
      <c r="Q140" s="18"/>
    </row>
    <row r="141" spans="1:17" ht="12.75" customHeight="1">
      <c r="A141" s="22" t="s">
        <v>17</v>
      </c>
      <c r="B141" s="25">
        <v>1739</v>
      </c>
      <c r="C141" s="25"/>
      <c r="D141" s="25"/>
      <c r="E141" s="43"/>
      <c r="F141" s="24">
        <f>SUM(B141:E141)</f>
        <v>1739</v>
      </c>
      <c r="G141" s="29">
        <v>1739</v>
      </c>
      <c r="H141" s="34"/>
      <c r="I141" s="34"/>
      <c r="J141" s="34"/>
      <c r="K141" s="24">
        <f>SUM(G141:J141)</f>
        <v>1739</v>
      </c>
      <c r="L141" s="25">
        <f t="shared" si="68"/>
        <v>0</v>
      </c>
      <c r="M141" s="25">
        <f t="shared" si="68"/>
        <v>0</v>
      </c>
      <c r="N141" s="25"/>
      <c r="O141" s="25">
        <f>+E141-J141</f>
        <v>0</v>
      </c>
      <c r="P141" s="26">
        <f>SUM(L141:O141)</f>
        <v>0</v>
      </c>
      <c r="Q141" s="18"/>
    </row>
    <row r="142" spans="1:17" ht="12.75" customHeight="1">
      <c r="A142" s="22" t="s">
        <v>18</v>
      </c>
      <c r="B142" s="25">
        <v>1634</v>
      </c>
      <c r="C142" s="25">
        <f>45215-1950</f>
        <v>43265</v>
      </c>
      <c r="D142" s="25"/>
      <c r="E142" s="43">
        <v>21728</v>
      </c>
      <c r="F142" s="24">
        <f>SUM(B142:E142)</f>
        <v>66627</v>
      </c>
      <c r="G142" s="29">
        <v>1632</v>
      </c>
      <c r="H142" s="29">
        <v>43257</v>
      </c>
      <c r="I142" s="29"/>
      <c r="J142" s="29">
        <v>21723</v>
      </c>
      <c r="K142" s="24">
        <f>SUM(G142:J142)</f>
        <v>66612</v>
      </c>
      <c r="L142" s="25">
        <f t="shared" si="68"/>
        <v>2</v>
      </c>
      <c r="M142" s="25">
        <f t="shared" si="68"/>
        <v>8</v>
      </c>
      <c r="N142" s="25"/>
      <c r="O142" s="25">
        <f>+E142-J142</f>
        <v>5</v>
      </c>
      <c r="P142" s="26">
        <f>SUM(L142:O142)</f>
        <v>15</v>
      </c>
      <c r="Q142" s="18"/>
    </row>
    <row r="143" spans="1:17" ht="12.75" customHeight="1">
      <c r="A143" s="22" t="s">
        <v>19</v>
      </c>
      <c r="B143" s="44">
        <f t="shared" ref="B143:K143" si="69">+B144+B145</f>
        <v>0</v>
      </c>
      <c r="C143" s="44">
        <f t="shared" si="69"/>
        <v>0</v>
      </c>
      <c r="D143" s="44">
        <f t="shared" si="69"/>
        <v>0</v>
      </c>
      <c r="E143" s="44">
        <f t="shared" si="69"/>
        <v>0</v>
      </c>
      <c r="F143" s="44">
        <f t="shared" si="69"/>
        <v>0</v>
      </c>
      <c r="G143" s="44">
        <f t="shared" si="69"/>
        <v>0</v>
      </c>
      <c r="H143" s="44">
        <f t="shared" si="69"/>
        <v>0</v>
      </c>
      <c r="I143" s="44">
        <f t="shared" si="69"/>
        <v>0</v>
      </c>
      <c r="J143" s="44">
        <f t="shared" si="69"/>
        <v>0</v>
      </c>
      <c r="K143" s="44">
        <f t="shared" si="69"/>
        <v>0</v>
      </c>
      <c r="L143" s="44">
        <f>+L144+L145</f>
        <v>0</v>
      </c>
      <c r="M143" s="44">
        <f>+M144+M145</f>
        <v>0</v>
      </c>
      <c r="N143" s="44"/>
      <c r="O143" s="44">
        <f>+O144+O145</f>
        <v>0</v>
      </c>
      <c r="P143" s="45">
        <f>+P144+P145</f>
        <v>0</v>
      </c>
      <c r="Q143" s="18"/>
    </row>
    <row r="144" spans="1:17" ht="12.75" customHeight="1">
      <c r="A144" s="23" t="s">
        <v>20</v>
      </c>
      <c r="B144" s="25"/>
      <c r="C144" s="25"/>
      <c r="D144" s="25"/>
      <c r="E144" s="43"/>
      <c r="F144" s="24">
        <f>SUM(B144:E144)</f>
        <v>0</v>
      </c>
      <c r="G144" s="29"/>
      <c r="H144" s="29"/>
      <c r="I144" s="29"/>
      <c r="J144" s="29"/>
      <c r="K144" s="24">
        <f>SUM(G144:J144)</f>
        <v>0</v>
      </c>
      <c r="L144" s="25">
        <f>+B144-G144</f>
        <v>0</v>
      </c>
      <c r="M144" s="25">
        <f>+C144-H144</f>
        <v>0</v>
      </c>
      <c r="N144" s="25"/>
      <c r="O144" s="25">
        <f>+E144-J144</f>
        <v>0</v>
      </c>
      <c r="P144" s="26">
        <f>SUM(L144:O144)</f>
        <v>0</v>
      </c>
      <c r="Q144" s="18"/>
    </row>
    <row r="145" spans="1:17" ht="12.75" customHeight="1">
      <c r="A145" s="23" t="s">
        <v>21</v>
      </c>
      <c r="B145" s="25"/>
      <c r="C145" s="25"/>
      <c r="D145" s="25"/>
      <c r="E145" s="43"/>
      <c r="F145" s="24">
        <f>SUM(B145:E145)</f>
        <v>0</v>
      </c>
      <c r="G145" s="29"/>
      <c r="H145" s="29"/>
      <c r="I145" s="29"/>
      <c r="J145" s="29"/>
      <c r="K145" s="24">
        <f>SUM(G145:J145)</f>
        <v>0</v>
      </c>
      <c r="L145" s="25">
        <f>+B145-G145</f>
        <v>0</v>
      </c>
      <c r="M145" s="25">
        <f>+C145-H145</f>
        <v>0</v>
      </c>
      <c r="N145" s="25"/>
      <c r="O145" s="25">
        <f>+E145-J145</f>
        <v>0</v>
      </c>
      <c r="P145" s="26">
        <f>SUM(L145:O145)</f>
        <v>0</v>
      </c>
      <c r="Q145" s="18"/>
    </row>
    <row r="146" spans="1:17" ht="12.75" customHeight="1">
      <c r="A146" s="22"/>
      <c r="B146" s="25"/>
      <c r="C146" s="25"/>
      <c r="D146" s="25"/>
      <c r="E146" s="43"/>
      <c r="F146" s="24"/>
      <c r="G146" s="47"/>
      <c r="H146" s="47"/>
      <c r="I146" s="47"/>
      <c r="J146" s="47"/>
      <c r="K146" s="32"/>
      <c r="L146" s="25"/>
      <c r="M146" s="25"/>
      <c r="N146" s="25"/>
      <c r="O146" s="25"/>
      <c r="P146" s="26"/>
      <c r="Q146" s="18"/>
    </row>
    <row r="147" spans="1:17" ht="12.75" customHeight="1">
      <c r="A147" s="42" t="s">
        <v>181</v>
      </c>
      <c r="B147" s="17">
        <f t="shared" ref="B147:K147" si="70">+B148+B152</f>
        <v>42399</v>
      </c>
      <c r="C147" s="17">
        <f t="shared" si="70"/>
        <v>147644</v>
      </c>
      <c r="D147" s="17">
        <f t="shared" si="70"/>
        <v>0</v>
      </c>
      <c r="E147" s="17">
        <f t="shared" si="70"/>
        <v>660</v>
      </c>
      <c r="F147" s="17">
        <f t="shared" si="70"/>
        <v>190703</v>
      </c>
      <c r="G147" s="17">
        <f t="shared" si="70"/>
        <v>42399.262000000002</v>
      </c>
      <c r="H147" s="17">
        <f t="shared" si="70"/>
        <v>130630.406</v>
      </c>
      <c r="I147" s="17">
        <f t="shared" si="70"/>
        <v>0</v>
      </c>
      <c r="J147" s="17">
        <f t="shared" si="70"/>
        <v>103.413</v>
      </c>
      <c r="K147" s="17">
        <f t="shared" si="70"/>
        <v>173133.08100000001</v>
      </c>
      <c r="L147" s="17">
        <f>+L148+L152</f>
        <v>-0.26199999999698775</v>
      </c>
      <c r="M147" s="17">
        <f>+M148+M152</f>
        <v>17013.593999999997</v>
      </c>
      <c r="N147" s="17"/>
      <c r="O147" s="17">
        <f>+O148+O152</f>
        <v>556.58699999999999</v>
      </c>
      <c r="P147" s="17">
        <f>+P148+P152</f>
        <v>17569.919000000002</v>
      </c>
      <c r="Q147" s="18">
        <f>+K147/F147</f>
        <v>0.90786763186735397</v>
      </c>
    </row>
    <row r="148" spans="1:17" ht="12.75" customHeight="1">
      <c r="A148" s="41" t="s">
        <v>15</v>
      </c>
      <c r="B148" s="62">
        <f t="shared" ref="B148:K148" si="71">+B149+B150+B151</f>
        <v>42399</v>
      </c>
      <c r="C148" s="62">
        <f t="shared" si="71"/>
        <v>143271</v>
      </c>
      <c r="D148" s="62">
        <f t="shared" si="71"/>
        <v>0</v>
      </c>
      <c r="E148" s="62">
        <f t="shared" si="71"/>
        <v>660</v>
      </c>
      <c r="F148" s="62">
        <f t="shared" si="71"/>
        <v>186330</v>
      </c>
      <c r="G148" s="62">
        <f t="shared" si="71"/>
        <v>42399.262000000002</v>
      </c>
      <c r="H148" s="62">
        <f t="shared" si="71"/>
        <v>130630.406</v>
      </c>
      <c r="I148" s="62">
        <f t="shared" si="71"/>
        <v>0</v>
      </c>
      <c r="J148" s="62">
        <f t="shared" si="71"/>
        <v>103.413</v>
      </c>
      <c r="K148" s="62">
        <f t="shared" si="71"/>
        <v>173133.08100000001</v>
      </c>
      <c r="L148" s="62">
        <f>+L149+L150+L151</f>
        <v>-0.26199999999698775</v>
      </c>
      <c r="M148" s="62">
        <f>+M149+M150+M151</f>
        <v>12640.593999999997</v>
      </c>
      <c r="N148" s="62"/>
      <c r="O148" s="62">
        <f>+O149+O150+O151</f>
        <v>556.58699999999999</v>
      </c>
      <c r="P148" s="17">
        <f>+P149+P150+P151</f>
        <v>13196.919000000002</v>
      </c>
      <c r="Q148" s="18"/>
    </row>
    <row r="149" spans="1:17" ht="12.75" customHeight="1">
      <c r="A149" s="22" t="s">
        <v>16</v>
      </c>
      <c r="B149" s="25">
        <v>33622</v>
      </c>
      <c r="C149" s="25">
        <v>114666</v>
      </c>
      <c r="D149" s="25"/>
      <c r="E149" s="43">
        <v>660</v>
      </c>
      <c r="F149" s="24">
        <f>SUM(B149:E149)</f>
        <v>148948</v>
      </c>
      <c r="G149" s="29">
        <f>35524.986-1903</f>
        <v>33621.985999999997</v>
      </c>
      <c r="H149" s="29">
        <f>109206.05+1903</f>
        <v>111109.05</v>
      </c>
      <c r="I149" s="29"/>
      <c r="J149" s="29">
        <v>103.413</v>
      </c>
      <c r="K149" s="24">
        <f>SUM(G149:J149)</f>
        <v>144834.44899999999</v>
      </c>
      <c r="L149" s="25">
        <f t="shared" ref="L149:M151" si="72">+B149-G149</f>
        <v>1.4000000002852175E-2</v>
      </c>
      <c r="M149" s="25">
        <f t="shared" si="72"/>
        <v>3556.9499999999971</v>
      </c>
      <c r="N149" s="25"/>
      <c r="O149" s="25">
        <f>+E149-J149</f>
        <v>556.58699999999999</v>
      </c>
      <c r="P149" s="26">
        <f>SUM(L149:O149)</f>
        <v>4113.5509999999995</v>
      </c>
      <c r="Q149" s="18"/>
    </row>
    <row r="150" spans="1:17" ht="12.75" customHeight="1">
      <c r="A150" s="23" t="s">
        <v>17</v>
      </c>
      <c r="B150" s="25">
        <v>6411</v>
      </c>
      <c r="C150" s="25">
        <v>28605</v>
      </c>
      <c r="D150" s="25"/>
      <c r="E150" s="25"/>
      <c r="F150" s="24">
        <f>SUM(B150:E150)</f>
        <v>35016</v>
      </c>
      <c r="G150" s="29">
        <f>7465.942-1055</f>
        <v>6410.942</v>
      </c>
      <c r="H150" s="29">
        <v>19521.356</v>
      </c>
      <c r="I150" s="34"/>
      <c r="J150" s="34"/>
      <c r="K150" s="24">
        <f>SUM(G150:J150)</f>
        <v>25932.297999999999</v>
      </c>
      <c r="L150" s="25">
        <f t="shared" si="72"/>
        <v>5.7999999999992724E-2</v>
      </c>
      <c r="M150" s="25">
        <f t="shared" si="72"/>
        <v>9083.6440000000002</v>
      </c>
      <c r="N150" s="25"/>
      <c r="O150" s="25">
        <f>+E150-J150</f>
        <v>0</v>
      </c>
      <c r="P150" s="26">
        <f>SUM(L150:O150)</f>
        <v>9083.7020000000011</v>
      </c>
      <c r="Q150" s="18"/>
    </row>
    <row r="151" spans="1:17" ht="12.75" customHeight="1">
      <c r="A151" s="22" t="s">
        <v>18</v>
      </c>
      <c r="B151" s="25">
        <v>2366</v>
      </c>
      <c r="C151" s="25"/>
      <c r="D151" s="25"/>
      <c r="E151" s="43"/>
      <c r="F151" s="24">
        <f>SUM(B151:E151)</f>
        <v>2366</v>
      </c>
      <c r="G151" s="29">
        <f>1311.334+1055</f>
        <v>2366.3339999999998</v>
      </c>
      <c r="H151" s="29"/>
      <c r="I151" s="29"/>
      <c r="J151" s="29"/>
      <c r="K151" s="24">
        <f>SUM(G151:J151)</f>
        <v>2366.3339999999998</v>
      </c>
      <c r="L151" s="25">
        <f t="shared" si="72"/>
        <v>-0.33399999999983265</v>
      </c>
      <c r="M151" s="25">
        <f t="shared" si="72"/>
        <v>0</v>
      </c>
      <c r="N151" s="25"/>
      <c r="O151" s="25">
        <f>+E151-J151</f>
        <v>0</v>
      </c>
      <c r="P151" s="26">
        <f>SUM(L151:O151)</f>
        <v>-0.33399999999983265</v>
      </c>
      <c r="Q151" s="18"/>
    </row>
    <row r="152" spans="1:17" ht="12.75" customHeight="1">
      <c r="A152" s="22" t="s">
        <v>19</v>
      </c>
      <c r="B152" s="44">
        <f t="shared" ref="B152:K152" si="73">+B153+B154</f>
        <v>0</v>
      </c>
      <c r="C152" s="44">
        <f t="shared" si="73"/>
        <v>4373</v>
      </c>
      <c r="D152" s="44">
        <f t="shared" si="73"/>
        <v>0</v>
      </c>
      <c r="E152" s="44">
        <f t="shared" si="73"/>
        <v>0</v>
      </c>
      <c r="F152" s="44">
        <f t="shared" si="73"/>
        <v>4373</v>
      </c>
      <c r="G152" s="44">
        <f t="shared" si="73"/>
        <v>0</v>
      </c>
      <c r="H152" s="44">
        <f t="shared" si="73"/>
        <v>0</v>
      </c>
      <c r="I152" s="44">
        <f t="shared" si="73"/>
        <v>0</v>
      </c>
      <c r="J152" s="44">
        <f t="shared" si="73"/>
        <v>0</v>
      </c>
      <c r="K152" s="44">
        <f t="shared" si="73"/>
        <v>0</v>
      </c>
      <c r="L152" s="44">
        <f>+L153+L154</f>
        <v>0</v>
      </c>
      <c r="M152" s="44">
        <f>+M153+M154</f>
        <v>4373</v>
      </c>
      <c r="N152" s="44"/>
      <c r="O152" s="44">
        <f>+O153+O154</f>
        <v>0</v>
      </c>
      <c r="P152" s="45">
        <f>+P153+P154</f>
        <v>4373</v>
      </c>
      <c r="Q152" s="18"/>
    </row>
    <row r="153" spans="1:17" ht="12.75" customHeight="1">
      <c r="A153" s="23" t="s">
        <v>20</v>
      </c>
      <c r="B153" s="25"/>
      <c r="C153" s="25">
        <v>4373</v>
      </c>
      <c r="D153" s="25"/>
      <c r="E153" s="43"/>
      <c r="F153" s="24">
        <f>SUM(B153:E153)</f>
        <v>4373</v>
      </c>
      <c r="G153" s="29"/>
      <c r="H153" s="29"/>
      <c r="I153" s="29"/>
      <c r="J153" s="29"/>
      <c r="K153" s="24">
        <f>SUM(G153:J153)</f>
        <v>0</v>
      </c>
      <c r="L153" s="25">
        <f>+B153-G153</f>
        <v>0</v>
      </c>
      <c r="M153" s="25">
        <f>+C153-H153</f>
        <v>4373</v>
      </c>
      <c r="N153" s="25"/>
      <c r="O153" s="25">
        <f>+E153-J153</f>
        <v>0</v>
      </c>
      <c r="P153" s="26">
        <f>SUM(L153:O153)</f>
        <v>4373</v>
      </c>
      <c r="Q153" s="18"/>
    </row>
    <row r="154" spans="1:17" ht="12.75" customHeight="1">
      <c r="A154" s="23" t="s">
        <v>21</v>
      </c>
      <c r="B154" s="25"/>
      <c r="C154" s="25"/>
      <c r="D154" s="25"/>
      <c r="E154" s="43"/>
      <c r="F154" s="24">
        <f>SUM(B154:E154)</f>
        <v>0</v>
      </c>
      <c r="G154" s="29"/>
      <c r="H154" s="29"/>
      <c r="I154" s="29"/>
      <c r="J154" s="29"/>
      <c r="K154" s="24">
        <f>SUM(G154:J154)</f>
        <v>0</v>
      </c>
      <c r="L154" s="25">
        <f>+B154-G154</f>
        <v>0</v>
      </c>
      <c r="M154" s="25">
        <f>+C154-H154</f>
        <v>0</v>
      </c>
      <c r="N154" s="25"/>
      <c r="O154" s="25">
        <f>+E154-J154</f>
        <v>0</v>
      </c>
      <c r="P154" s="26">
        <f>SUM(L154:O154)</f>
        <v>0</v>
      </c>
      <c r="Q154" s="18"/>
    </row>
    <row r="155" spans="1:17" ht="12.75" customHeight="1">
      <c r="A155" s="83"/>
      <c r="B155" s="77"/>
      <c r="C155" s="77"/>
      <c r="D155" s="77"/>
      <c r="E155" s="75"/>
      <c r="F155" s="77"/>
      <c r="G155" s="224"/>
      <c r="H155" s="224"/>
      <c r="I155" s="224"/>
      <c r="J155" s="224"/>
      <c r="K155" s="82"/>
      <c r="L155" s="77"/>
      <c r="M155" s="77"/>
      <c r="N155" s="77"/>
      <c r="O155" s="77"/>
      <c r="P155" s="75"/>
      <c r="Q155" s="76"/>
    </row>
    <row r="156" spans="1:17" ht="12.75" customHeight="1">
      <c r="A156" s="41" t="s">
        <v>182</v>
      </c>
      <c r="B156" s="17">
        <f t="shared" ref="B156:K156" si="74">+B157+B161</f>
        <v>29166</v>
      </c>
      <c r="C156" s="17">
        <f t="shared" si="74"/>
        <v>314752</v>
      </c>
      <c r="D156" s="17">
        <f t="shared" si="74"/>
        <v>5</v>
      </c>
      <c r="E156" s="17">
        <f t="shared" si="74"/>
        <v>21042</v>
      </c>
      <c r="F156" s="17">
        <f t="shared" si="74"/>
        <v>364965</v>
      </c>
      <c r="G156" s="17">
        <f t="shared" si="74"/>
        <v>27487.643</v>
      </c>
      <c r="H156" s="17">
        <f t="shared" si="74"/>
        <v>314067</v>
      </c>
      <c r="I156" s="17">
        <f t="shared" si="74"/>
        <v>0</v>
      </c>
      <c r="J156" s="17">
        <f t="shared" si="74"/>
        <v>20752</v>
      </c>
      <c r="K156" s="17">
        <f t="shared" si="74"/>
        <v>362306.64299999998</v>
      </c>
      <c r="L156" s="17">
        <f>+L157+L161</f>
        <v>1678.357</v>
      </c>
      <c r="M156" s="17">
        <f>+M157+M161</f>
        <v>685</v>
      </c>
      <c r="N156" s="17">
        <f>+N157+N161</f>
        <v>5</v>
      </c>
      <c r="O156" s="17">
        <f>+O157+O161</f>
        <v>290</v>
      </c>
      <c r="P156" s="17">
        <f>+P157+P161</f>
        <v>2658.357</v>
      </c>
      <c r="Q156" s="18">
        <f>+K156/F156</f>
        <v>0.99271613168386008</v>
      </c>
    </row>
    <row r="157" spans="1:17" ht="12.75" customHeight="1">
      <c r="A157" s="41" t="s">
        <v>15</v>
      </c>
      <c r="B157" s="62">
        <f t="shared" ref="B157:K157" si="75">+B158+B159+B160</f>
        <v>29166</v>
      </c>
      <c r="C157" s="62">
        <f t="shared" si="75"/>
        <v>314409</v>
      </c>
      <c r="D157" s="62">
        <f t="shared" si="75"/>
        <v>5</v>
      </c>
      <c r="E157" s="62">
        <f t="shared" si="75"/>
        <v>21042</v>
      </c>
      <c r="F157" s="62">
        <f t="shared" si="75"/>
        <v>364622</v>
      </c>
      <c r="G157" s="62">
        <f t="shared" si="75"/>
        <v>27487.643</v>
      </c>
      <c r="H157" s="62">
        <f t="shared" si="75"/>
        <v>314067</v>
      </c>
      <c r="I157" s="62">
        <f t="shared" si="75"/>
        <v>0</v>
      </c>
      <c r="J157" s="62">
        <f t="shared" si="75"/>
        <v>20752</v>
      </c>
      <c r="K157" s="62">
        <f t="shared" si="75"/>
        <v>362306.64299999998</v>
      </c>
      <c r="L157" s="62">
        <f t="shared" ref="L157:P157" si="76">+L158+L159+L160</f>
        <v>1678.357</v>
      </c>
      <c r="M157" s="62">
        <f t="shared" si="76"/>
        <v>342</v>
      </c>
      <c r="N157" s="62">
        <f t="shared" si="76"/>
        <v>5</v>
      </c>
      <c r="O157" s="62">
        <f t="shared" si="76"/>
        <v>290</v>
      </c>
      <c r="P157" s="17">
        <f t="shared" si="76"/>
        <v>2315.357</v>
      </c>
      <c r="Q157" s="18"/>
    </row>
    <row r="158" spans="1:17" ht="12.75" customHeight="1">
      <c r="A158" s="22" t="s">
        <v>16</v>
      </c>
      <c r="B158" s="25">
        <v>16046</v>
      </c>
      <c r="C158" s="25">
        <v>13234</v>
      </c>
      <c r="D158" s="25"/>
      <c r="E158" s="43"/>
      <c r="F158" s="24">
        <f>SUM(B158:E158)</f>
        <v>29280</v>
      </c>
      <c r="G158" s="29">
        <v>16002.643</v>
      </c>
      <c r="H158" s="29">
        <v>12897</v>
      </c>
      <c r="I158" s="29"/>
      <c r="J158" s="29"/>
      <c r="K158" s="24">
        <f>SUM(G158:J158)</f>
        <v>28899.643</v>
      </c>
      <c r="L158" s="25">
        <f t="shared" ref="L158:N160" si="77">+B158-G158</f>
        <v>43.356999999999971</v>
      </c>
      <c r="M158" s="25">
        <f t="shared" si="77"/>
        <v>337</v>
      </c>
      <c r="N158" s="25"/>
      <c r="O158" s="25">
        <f>+E158-J158</f>
        <v>0</v>
      </c>
      <c r="P158" s="26">
        <f>SUM(L158:O158)</f>
        <v>380.35699999999997</v>
      </c>
      <c r="Q158" s="18"/>
    </row>
    <row r="159" spans="1:17" ht="12.75" customHeight="1">
      <c r="A159" s="22" t="s">
        <v>17</v>
      </c>
      <c r="B159" s="25">
        <v>951</v>
      </c>
      <c r="C159" s="25"/>
      <c r="D159" s="25"/>
      <c r="E159" s="43"/>
      <c r="F159" s="24">
        <f>SUM(B159:E159)</f>
        <v>951</v>
      </c>
      <c r="G159" s="29">
        <v>931</v>
      </c>
      <c r="H159" s="34"/>
      <c r="I159" s="34"/>
      <c r="J159" s="34"/>
      <c r="K159" s="24">
        <f>SUM(G159:J159)</f>
        <v>931</v>
      </c>
      <c r="L159" s="25">
        <f t="shared" si="77"/>
        <v>20</v>
      </c>
      <c r="M159" s="25">
        <f t="shared" si="77"/>
        <v>0</v>
      </c>
      <c r="N159" s="25"/>
      <c r="O159" s="25">
        <f>+E159-J159</f>
        <v>0</v>
      </c>
      <c r="P159" s="26">
        <f>SUM(L159:O159)</f>
        <v>20</v>
      </c>
      <c r="Q159" s="18"/>
    </row>
    <row r="160" spans="1:17" ht="12.75" customHeight="1">
      <c r="A160" s="22" t="s">
        <v>18</v>
      </c>
      <c r="B160" s="25">
        <v>12169</v>
      </c>
      <c r="C160" s="25">
        <v>301175</v>
      </c>
      <c r="D160" s="25">
        <v>5</v>
      </c>
      <c r="E160" s="43">
        <v>21042</v>
      </c>
      <c r="F160" s="24">
        <f>SUM(B160:E160)</f>
        <v>334391</v>
      </c>
      <c r="G160" s="29">
        <v>10554</v>
      </c>
      <c r="H160" s="29">
        <v>301170</v>
      </c>
      <c r="I160" s="29"/>
      <c r="J160" s="29">
        <v>20752</v>
      </c>
      <c r="K160" s="24">
        <f>SUM(G160:J160)</f>
        <v>332476</v>
      </c>
      <c r="L160" s="25">
        <f t="shared" si="77"/>
        <v>1615</v>
      </c>
      <c r="M160" s="25">
        <f t="shared" si="77"/>
        <v>5</v>
      </c>
      <c r="N160" s="25">
        <f t="shared" si="77"/>
        <v>5</v>
      </c>
      <c r="O160" s="25">
        <f>+E160-J160</f>
        <v>290</v>
      </c>
      <c r="P160" s="26">
        <f>SUM(L160:O160)</f>
        <v>1915</v>
      </c>
      <c r="Q160" s="18"/>
    </row>
    <row r="161" spans="1:17" ht="12.75" customHeight="1">
      <c r="A161" s="22" t="s">
        <v>19</v>
      </c>
      <c r="B161" s="44">
        <f t="shared" ref="B161:K161" si="78">+B162+B163</f>
        <v>0</v>
      </c>
      <c r="C161" s="44">
        <f t="shared" si="78"/>
        <v>343</v>
      </c>
      <c r="D161" s="44">
        <f t="shared" si="78"/>
        <v>0</v>
      </c>
      <c r="E161" s="44">
        <f t="shared" si="78"/>
        <v>0</v>
      </c>
      <c r="F161" s="44">
        <f t="shared" si="78"/>
        <v>343</v>
      </c>
      <c r="G161" s="44">
        <f t="shared" si="78"/>
        <v>0</v>
      </c>
      <c r="H161" s="44">
        <f t="shared" si="78"/>
        <v>0</v>
      </c>
      <c r="I161" s="44">
        <f t="shared" si="78"/>
        <v>0</v>
      </c>
      <c r="J161" s="44">
        <f t="shared" si="78"/>
        <v>0</v>
      </c>
      <c r="K161" s="44">
        <f t="shared" si="78"/>
        <v>0</v>
      </c>
      <c r="L161" s="44">
        <f>+L162+L163</f>
        <v>0</v>
      </c>
      <c r="M161" s="44">
        <f>+M162+M163</f>
        <v>343</v>
      </c>
      <c r="N161" s="44"/>
      <c r="O161" s="44">
        <f>+O162+O163</f>
        <v>0</v>
      </c>
      <c r="P161" s="45">
        <f>+P162+P163</f>
        <v>343</v>
      </c>
      <c r="Q161" s="18"/>
    </row>
    <row r="162" spans="1:17" ht="12.75" customHeight="1">
      <c r="A162" s="23" t="s">
        <v>20</v>
      </c>
      <c r="B162" s="25"/>
      <c r="C162" s="25">
        <v>343</v>
      </c>
      <c r="D162" s="25"/>
      <c r="E162" s="43"/>
      <c r="F162" s="24">
        <f>SUM(B162:E162)</f>
        <v>343</v>
      </c>
      <c r="G162" s="29"/>
      <c r="H162" s="29"/>
      <c r="I162" s="29"/>
      <c r="J162" s="29"/>
      <c r="K162" s="24">
        <f>SUM(G162:J162)</f>
        <v>0</v>
      </c>
      <c r="L162" s="25">
        <f>+B162-G162</f>
        <v>0</v>
      </c>
      <c r="M162" s="25">
        <f>+C162-H162</f>
        <v>343</v>
      </c>
      <c r="N162" s="25"/>
      <c r="O162" s="25">
        <f>+E162-J162</f>
        <v>0</v>
      </c>
      <c r="P162" s="26">
        <f>SUM(L162:O162)</f>
        <v>343</v>
      </c>
      <c r="Q162" s="18"/>
    </row>
    <row r="163" spans="1:17" ht="12.75" customHeight="1">
      <c r="A163" s="23" t="s">
        <v>21</v>
      </c>
      <c r="B163" s="25"/>
      <c r="C163" s="25"/>
      <c r="D163" s="25"/>
      <c r="E163" s="43"/>
      <c r="F163" s="24">
        <f>SUM(B163:E163)</f>
        <v>0</v>
      </c>
      <c r="G163" s="29"/>
      <c r="H163" s="29"/>
      <c r="I163" s="29"/>
      <c r="J163" s="29"/>
      <c r="K163" s="24">
        <f>SUM(G163:J163)</f>
        <v>0</v>
      </c>
      <c r="L163" s="25">
        <f>+B163-G163</f>
        <v>0</v>
      </c>
      <c r="M163" s="25">
        <f>+C163-H163</f>
        <v>0</v>
      </c>
      <c r="N163" s="25"/>
      <c r="O163" s="25">
        <f>+E163-J163</f>
        <v>0</v>
      </c>
      <c r="P163" s="26">
        <f>SUM(L163:O163)</f>
        <v>0</v>
      </c>
      <c r="Q163" s="18"/>
    </row>
    <row r="164" spans="1:17" ht="12.75" customHeight="1">
      <c r="A164" s="46"/>
      <c r="B164" s="24"/>
      <c r="C164" s="24"/>
      <c r="D164" s="24"/>
      <c r="E164" s="26"/>
      <c r="F164" s="24"/>
      <c r="G164" s="32"/>
      <c r="H164" s="32"/>
      <c r="I164" s="32"/>
      <c r="J164" s="32"/>
      <c r="K164" s="32"/>
      <c r="L164" s="24"/>
      <c r="M164" s="24"/>
      <c r="N164" s="24"/>
      <c r="O164" s="24"/>
      <c r="P164" s="26"/>
      <c r="Q164" s="18"/>
    </row>
    <row r="165" spans="1:17" ht="12.75" customHeight="1">
      <c r="A165" s="41" t="s">
        <v>183</v>
      </c>
      <c r="B165" s="17">
        <f t="shared" ref="B165:K165" si="79">+B166+B170</f>
        <v>62617</v>
      </c>
      <c r="C165" s="17">
        <f t="shared" si="79"/>
        <v>76954</v>
      </c>
      <c r="D165" s="17">
        <f t="shared" si="79"/>
        <v>0</v>
      </c>
      <c r="E165" s="17">
        <f t="shared" si="79"/>
        <v>225273</v>
      </c>
      <c r="F165" s="17">
        <f t="shared" si="79"/>
        <v>364844</v>
      </c>
      <c r="G165" s="17">
        <f t="shared" si="79"/>
        <v>62600.231</v>
      </c>
      <c r="H165" s="17">
        <f t="shared" si="79"/>
        <v>70482.293000000005</v>
      </c>
      <c r="I165" s="17">
        <f t="shared" si="79"/>
        <v>0</v>
      </c>
      <c r="J165" s="17">
        <f t="shared" si="79"/>
        <v>206259.429</v>
      </c>
      <c r="K165" s="17">
        <f t="shared" si="79"/>
        <v>339341.95299999998</v>
      </c>
      <c r="L165" s="17">
        <f>+L166+L170</f>
        <v>16.769000000000233</v>
      </c>
      <c r="M165" s="17">
        <f>+M166+M170</f>
        <v>6471.7069999999949</v>
      </c>
      <c r="N165" s="17"/>
      <c r="O165" s="17">
        <f>+O166+O170</f>
        <v>19013.570999999996</v>
      </c>
      <c r="P165" s="17">
        <f>+P166+P170</f>
        <v>25502.046999999991</v>
      </c>
      <c r="Q165" s="18">
        <f>+K165/F165</f>
        <v>0.93010150365635713</v>
      </c>
    </row>
    <row r="166" spans="1:17" ht="12.75" customHeight="1">
      <c r="A166" s="41" t="s">
        <v>15</v>
      </c>
      <c r="B166" s="62">
        <f t="shared" ref="B166:K166" si="80">+B167+B168+B169</f>
        <v>62617</v>
      </c>
      <c r="C166" s="62">
        <f t="shared" si="80"/>
        <v>76854</v>
      </c>
      <c r="D166" s="62">
        <f t="shared" si="80"/>
        <v>0</v>
      </c>
      <c r="E166" s="62">
        <f t="shared" si="80"/>
        <v>223506</v>
      </c>
      <c r="F166" s="62">
        <f t="shared" si="80"/>
        <v>362977</v>
      </c>
      <c r="G166" s="62">
        <f t="shared" si="80"/>
        <v>62600.231</v>
      </c>
      <c r="H166" s="62">
        <f t="shared" si="80"/>
        <v>70482.293000000005</v>
      </c>
      <c r="I166" s="62">
        <f t="shared" si="80"/>
        <v>0</v>
      </c>
      <c r="J166" s="62">
        <f t="shared" si="80"/>
        <v>205204.429</v>
      </c>
      <c r="K166" s="62">
        <f t="shared" si="80"/>
        <v>338286.95299999998</v>
      </c>
      <c r="L166" s="62">
        <f>+L167+L168+L169</f>
        <v>16.769000000000233</v>
      </c>
      <c r="M166" s="62">
        <f>+M167+M168+M169</f>
        <v>6371.7069999999949</v>
      </c>
      <c r="N166" s="62"/>
      <c r="O166" s="62">
        <f>+O167+O168+O169</f>
        <v>18301.570999999996</v>
      </c>
      <c r="P166" s="17">
        <f>+P167+P168+P169</f>
        <v>24690.046999999991</v>
      </c>
      <c r="Q166" s="18"/>
    </row>
    <row r="167" spans="1:17" ht="12.75" customHeight="1">
      <c r="A167" s="22" t="s">
        <v>16</v>
      </c>
      <c r="B167" s="25">
        <v>52345</v>
      </c>
      <c r="C167" s="25">
        <v>76854</v>
      </c>
      <c r="D167" s="25"/>
      <c r="E167" s="43">
        <v>223506</v>
      </c>
      <c r="F167" s="24">
        <f>SUM(B167:E167)</f>
        <v>352705</v>
      </c>
      <c r="G167" s="29">
        <f>62600.231-5781-4491</f>
        <v>52328.231</v>
      </c>
      <c r="H167" s="29">
        <f>46575.675+23906.618</f>
        <v>70482.293000000005</v>
      </c>
      <c r="I167" s="29"/>
      <c r="J167" s="29">
        <f>3971.706+201232.723</f>
        <v>205204.429</v>
      </c>
      <c r="K167" s="24">
        <f>SUM(G167:J167)</f>
        <v>328014.95299999998</v>
      </c>
      <c r="L167" s="25">
        <f t="shared" ref="L167:M169" si="81">+B167-G167</f>
        <v>16.769000000000233</v>
      </c>
      <c r="M167" s="25">
        <f t="shared" si="81"/>
        <v>6371.7069999999949</v>
      </c>
      <c r="N167" s="25"/>
      <c r="O167" s="25">
        <f>+E167-J167</f>
        <v>18301.570999999996</v>
      </c>
      <c r="P167" s="26">
        <f>SUM(L167:O167)</f>
        <v>24690.046999999991</v>
      </c>
      <c r="Q167" s="18"/>
    </row>
    <row r="168" spans="1:17" ht="12.75" customHeight="1">
      <c r="A168" s="22" t="s">
        <v>17</v>
      </c>
      <c r="B168" s="25">
        <v>5781</v>
      </c>
      <c r="C168" s="25"/>
      <c r="D168" s="25"/>
      <c r="E168" s="43"/>
      <c r="F168" s="24">
        <f>SUM(B168:E168)</f>
        <v>5781</v>
      </c>
      <c r="G168" s="29">
        <v>5781</v>
      </c>
      <c r="H168" s="34"/>
      <c r="I168" s="34"/>
      <c r="J168" s="34"/>
      <c r="K168" s="24">
        <f>SUM(G168:J168)</f>
        <v>5781</v>
      </c>
      <c r="L168" s="25">
        <f t="shared" si="81"/>
        <v>0</v>
      </c>
      <c r="M168" s="25">
        <f t="shared" si="81"/>
        <v>0</v>
      </c>
      <c r="N168" s="25"/>
      <c r="O168" s="25">
        <f>+E168-J168</f>
        <v>0</v>
      </c>
      <c r="P168" s="26">
        <f>SUM(L168:O168)</f>
        <v>0</v>
      </c>
      <c r="Q168" s="18"/>
    </row>
    <row r="169" spans="1:17" ht="12.75" customHeight="1">
      <c r="A169" s="22" t="s">
        <v>18</v>
      </c>
      <c r="B169" s="25">
        <v>4491</v>
      </c>
      <c r="C169" s="25"/>
      <c r="D169" s="25"/>
      <c r="E169" s="43"/>
      <c r="F169" s="24">
        <f>SUM(B169:E169)</f>
        <v>4491</v>
      </c>
      <c r="G169" s="29">
        <v>4491</v>
      </c>
      <c r="H169" s="29"/>
      <c r="I169" s="29"/>
      <c r="J169" s="29"/>
      <c r="K169" s="24">
        <f>SUM(G169:J169)</f>
        <v>4491</v>
      </c>
      <c r="L169" s="25">
        <f t="shared" si="81"/>
        <v>0</v>
      </c>
      <c r="M169" s="25">
        <f t="shared" si="81"/>
        <v>0</v>
      </c>
      <c r="N169" s="25"/>
      <c r="O169" s="25">
        <f>+E169-J169</f>
        <v>0</v>
      </c>
      <c r="P169" s="26">
        <f>SUM(L169:O169)</f>
        <v>0</v>
      </c>
      <c r="Q169" s="18"/>
    </row>
    <row r="170" spans="1:17" ht="12.75" customHeight="1">
      <c r="A170" s="22" t="s">
        <v>19</v>
      </c>
      <c r="B170" s="44">
        <f t="shared" ref="B170:K170" si="82">+B171+B172</f>
        <v>0</v>
      </c>
      <c r="C170" s="44">
        <f t="shared" si="82"/>
        <v>100</v>
      </c>
      <c r="D170" s="44">
        <f t="shared" si="82"/>
        <v>0</v>
      </c>
      <c r="E170" s="44">
        <f t="shared" si="82"/>
        <v>1767</v>
      </c>
      <c r="F170" s="44">
        <f t="shared" si="82"/>
        <v>1867</v>
      </c>
      <c r="G170" s="44">
        <f t="shared" si="82"/>
        <v>0</v>
      </c>
      <c r="H170" s="44">
        <f t="shared" si="82"/>
        <v>0</v>
      </c>
      <c r="I170" s="44">
        <f t="shared" si="82"/>
        <v>0</v>
      </c>
      <c r="J170" s="44">
        <f t="shared" si="82"/>
        <v>1055</v>
      </c>
      <c r="K170" s="44">
        <f t="shared" si="82"/>
        <v>1055</v>
      </c>
      <c r="L170" s="44">
        <f>+L171+L172</f>
        <v>0</v>
      </c>
      <c r="M170" s="44">
        <f>+M171+M172</f>
        <v>100</v>
      </c>
      <c r="N170" s="44"/>
      <c r="O170" s="44">
        <f>+O171+O172</f>
        <v>712</v>
      </c>
      <c r="P170" s="45">
        <f>+P171+P172</f>
        <v>812</v>
      </c>
      <c r="Q170" s="18"/>
    </row>
    <row r="171" spans="1:17" ht="12.75" customHeight="1">
      <c r="A171" s="23" t="s">
        <v>20</v>
      </c>
      <c r="B171" s="25"/>
      <c r="C171" s="25">
        <v>100</v>
      </c>
      <c r="D171" s="25"/>
      <c r="E171" s="43">
        <v>1767</v>
      </c>
      <c r="F171" s="24">
        <f>SUM(B171:E171)</f>
        <v>1867</v>
      </c>
      <c r="G171" s="29"/>
      <c r="H171" s="29"/>
      <c r="I171" s="29"/>
      <c r="J171" s="29">
        <v>1055</v>
      </c>
      <c r="K171" s="24">
        <f>SUM(G171:J171)</f>
        <v>1055</v>
      </c>
      <c r="L171" s="25">
        <f>+B171-G171</f>
        <v>0</v>
      </c>
      <c r="M171" s="25">
        <f>+C171-H171</f>
        <v>100</v>
      </c>
      <c r="N171" s="25"/>
      <c r="O171" s="25">
        <f>+E171-J171</f>
        <v>712</v>
      </c>
      <c r="P171" s="26">
        <f>SUM(L171:O171)</f>
        <v>812</v>
      </c>
      <c r="Q171" s="18"/>
    </row>
    <row r="172" spans="1:17" ht="12.75" customHeight="1">
      <c r="A172" s="23" t="s">
        <v>21</v>
      </c>
      <c r="B172" s="25"/>
      <c r="C172" s="25"/>
      <c r="D172" s="25"/>
      <c r="E172" s="43"/>
      <c r="F172" s="24">
        <f>SUM(B172:E172)</f>
        <v>0</v>
      </c>
      <c r="G172" s="29"/>
      <c r="H172" s="29"/>
      <c r="I172" s="29"/>
      <c r="J172" s="29"/>
      <c r="K172" s="24">
        <f>SUM(G172:J172)</f>
        <v>0</v>
      </c>
      <c r="L172" s="25">
        <f>+B172-G172</f>
        <v>0</v>
      </c>
      <c r="M172" s="25">
        <f>+C172-H172</f>
        <v>0</v>
      </c>
      <c r="N172" s="25"/>
      <c r="O172" s="25">
        <f>+E172-J172</f>
        <v>0</v>
      </c>
      <c r="P172" s="26">
        <f>SUM(L172:O172)</f>
        <v>0</v>
      </c>
      <c r="Q172" s="18"/>
    </row>
    <row r="173" spans="1:17" ht="12.75" customHeight="1">
      <c r="A173" s="46"/>
      <c r="B173" s="24"/>
      <c r="C173" s="24"/>
      <c r="D173" s="24"/>
      <c r="E173" s="26"/>
      <c r="F173" s="24"/>
      <c r="G173" s="32"/>
      <c r="H173" s="32"/>
      <c r="I173" s="32"/>
      <c r="J173" s="32"/>
      <c r="K173" s="32"/>
      <c r="L173" s="24"/>
      <c r="M173" s="24"/>
      <c r="N173" s="24"/>
      <c r="O173" s="24"/>
      <c r="P173" s="26"/>
      <c r="Q173" s="18"/>
    </row>
    <row r="174" spans="1:17" ht="12.75" customHeight="1">
      <c r="A174" s="42" t="s">
        <v>184</v>
      </c>
      <c r="B174" s="17">
        <f t="shared" ref="B174:K174" si="83">+B175+B179</f>
        <v>63559</v>
      </c>
      <c r="C174" s="17">
        <f t="shared" si="83"/>
        <v>84030</v>
      </c>
      <c r="D174" s="17">
        <f t="shared" si="83"/>
        <v>0</v>
      </c>
      <c r="E174" s="17">
        <f t="shared" si="83"/>
        <v>104126</v>
      </c>
      <c r="F174" s="17">
        <f t="shared" si="83"/>
        <v>251715</v>
      </c>
      <c r="G174" s="17">
        <f t="shared" si="83"/>
        <v>63090</v>
      </c>
      <c r="H174" s="17">
        <f t="shared" si="83"/>
        <v>38964</v>
      </c>
      <c r="I174" s="17">
        <f t="shared" si="83"/>
        <v>0</v>
      </c>
      <c r="J174" s="17">
        <f t="shared" si="83"/>
        <v>84317</v>
      </c>
      <c r="K174" s="17">
        <f t="shared" si="83"/>
        <v>186371</v>
      </c>
      <c r="L174" s="17">
        <f>+L175+L179</f>
        <v>469</v>
      </c>
      <c r="M174" s="17">
        <f>+M175+M179</f>
        <v>45066</v>
      </c>
      <c r="N174" s="17"/>
      <c r="O174" s="17">
        <f>+O175+O179</f>
        <v>19809</v>
      </c>
      <c r="P174" s="17">
        <f>+P175+P179</f>
        <v>65344</v>
      </c>
      <c r="Q174" s="18">
        <f>+K174/F174</f>
        <v>0.74040482291480447</v>
      </c>
    </row>
    <row r="175" spans="1:17" ht="12.75" customHeight="1">
      <c r="A175" s="41" t="s">
        <v>15</v>
      </c>
      <c r="B175" s="62">
        <f t="shared" ref="B175:K175" si="84">+B176+B177+B178</f>
        <v>63559</v>
      </c>
      <c r="C175" s="62">
        <f t="shared" si="84"/>
        <v>82621</v>
      </c>
      <c r="D175" s="62">
        <f t="shared" si="84"/>
        <v>0</v>
      </c>
      <c r="E175" s="62">
        <f t="shared" si="84"/>
        <v>95466</v>
      </c>
      <c r="F175" s="62">
        <f t="shared" si="84"/>
        <v>241646</v>
      </c>
      <c r="G175" s="62">
        <f t="shared" si="84"/>
        <v>63090</v>
      </c>
      <c r="H175" s="62">
        <f t="shared" si="84"/>
        <v>38964</v>
      </c>
      <c r="I175" s="62">
        <f t="shared" si="84"/>
        <v>0</v>
      </c>
      <c r="J175" s="62">
        <f t="shared" si="84"/>
        <v>84317</v>
      </c>
      <c r="K175" s="62">
        <f t="shared" si="84"/>
        <v>186371</v>
      </c>
      <c r="L175" s="62">
        <f>+L176+L177+L178</f>
        <v>469</v>
      </c>
      <c r="M175" s="62">
        <f>+M176+M177+M178</f>
        <v>43657</v>
      </c>
      <c r="N175" s="62"/>
      <c r="O175" s="62">
        <f>+O176+O177+O178</f>
        <v>11149</v>
      </c>
      <c r="P175" s="17">
        <f>+P176+P177+P178</f>
        <v>55275</v>
      </c>
      <c r="Q175" s="18"/>
    </row>
    <row r="176" spans="1:17" ht="12.75" customHeight="1">
      <c r="A176" s="22" t="s">
        <v>16</v>
      </c>
      <c r="B176" s="25">
        <v>53192</v>
      </c>
      <c r="C176" s="25">
        <v>45621</v>
      </c>
      <c r="D176" s="25"/>
      <c r="E176" s="43">
        <v>95466</v>
      </c>
      <c r="F176" s="24">
        <f>SUM(B176:E176)</f>
        <v>194279</v>
      </c>
      <c r="G176" s="29">
        <v>52724</v>
      </c>
      <c r="H176" s="29">
        <v>38964</v>
      </c>
      <c r="I176" s="29"/>
      <c r="J176" s="29">
        <v>84317</v>
      </c>
      <c r="K176" s="24">
        <f>SUM(G176:J176)</f>
        <v>176005</v>
      </c>
      <c r="L176" s="25">
        <f t="shared" ref="L176:M178" si="85">+B176-G176</f>
        <v>468</v>
      </c>
      <c r="M176" s="25">
        <f t="shared" si="85"/>
        <v>6657</v>
      </c>
      <c r="N176" s="25"/>
      <c r="O176" s="25">
        <f>+E176-J176</f>
        <v>11149</v>
      </c>
      <c r="P176" s="26">
        <f>SUM(L176:O176)</f>
        <v>18274</v>
      </c>
      <c r="Q176" s="18"/>
    </row>
    <row r="177" spans="1:17" ht="12.75" customHeight="1">
      <c r="A177" s="22" t="s">
        <v>17</v>
      </c>
      <c r="B177" s="25">
        <v>5520</v>
      </c>
      <c r="C177" s="25">
        <v>37000</v>
      </c>
      <c r="D177" s="25"/>
      <c r="E177" s="43"/>
      <c r="F177" s="24">
        <f>SUM(B177:E177)</f>
        <v>42520</v>
      </c>
      <c r="G177" s="29">
        <v>5520</v>
      </c>
      <c r="H177" s="29"/>
      <c r="I177" s="29"/>
      <c r="J177" s="34"/>
      <c r="K177" s="24">
        <f>SUM(G177:J177)</f>
        <v>5520</v>
      </c>
      <c r="L177" s="25">
        <f t="shared" si="85"/>
        <v>0</v>
      </c>
      <c r="M177" s="25">
        <f t="shared" si="85"/>
        <v>37000</v>
      </c>
      <c r="N177" s="25"/>
      <c r="O177" s="25">
        <f>+E177-J177</f>
        <v>0</v>
      </c>
      <c r="P177" s="26">
        <f>SUM(L177:O177)</f>
        <v>37000</v>
      </c>
      <c r="Q177" s="18"/>
    </row>
    <row r="178" spans="1:17" ht="12.75" customHeight="1">
      <c r="A178" s="22" t="s">
        <v>18</v>
      </c>
      <c r="B178" s="25">
        <v>4847</v>
      </c>
      <c r="C178" s="25"/>
      <c r="D178" s="25"/>
      <c r="E178" s="43"/>
      <c r="F178" s="24">
        <f>SUM(B178:E178)</f>
        <v>4847</v>
      </c>
      <c r="G178" s="29">
        <v>4846</v>
      </c>
      <c r="H178" s="29"/>
      <c r="I178" s="29"/>
      <c r="J178" s="34"/>
      <c r="K178" s="24">
        <f>SUM(G178:J178)</f>
        <v>4846</v>
      </c>
      <c r="L178" s="25">
        <f t="shared" si="85"/>
        <v>1</v>
      </c>
      <c r="M178" s="25">
        <f t="shared" si="85"/>
        <v>0</v>
      </c>
      <c r="N178" s="25"/>
      <c r="O178" s="25">
        <f>+E178-J178</f>
        <v>0</v>
      </c>
      <c r="P178" s="26">
        <f>SUM(L178:O178)</f>
        <v>1</v>
      </c>
      <c r="Q178" s="18"/>
    </row>
    <row r="179" spans="1:17" ht="12.75" customHeight="1">
      <c r="A179" s="22" t="s">
        <v>19</v>
      </c>
      <c r="B179" s="44">
        <f t="shared" ref="B179:K179" si="86">+B180+B181</f>
        <v>0</v>
      </c>
      <c r="C179" s="44">
        <f t="shared" si="86"/>
        <v>1409</v>
      </c>
      <c r="D179" s="44">
        <f t="shared" si="86"/>
        <v>0</v>
      </c>
      <c r="E179" s="44">
        <f t="shared" si="86"/>
        <v>8660</v>
      </c>
      <c r="F179" s="44">
        <f t="shared" si="86"/>
        <v>10069</v>
      </c>
      <c r="G179" s="44">
        <f t="shared" si="86"/>
        <v>0</v>
      </c>
      <c r="H179" s="44">
        <f t="shared" si="86"/>
        <v>0</v>
      </c>
      <c r="I179" s="44">
        <f t="shared" si="86"/>
        <v>0</v>
      </c>
      <c r="J179" s="44">
        <f t="shared" si="86"/>
        <v>0</v>
      </c>
      <c r="K179" s="44">
        <f t="shared" si="86"/>
        <v>0</v>
      </c>
      <c r="L179" s="44">
        <f>+L180+L181</f>
        <v>0</v>
      </c>
      <c r="M179" s="44">
        <f>+M180+M181</f>
        <v>1409</v>
      </c>
      <c r="N179" s="44"/>
      <c r="O179" s="44">
        <f>+O180+O181</f>
        <v>8660</v>
      </c>
      <c r="P179" s="45">
        <f>+P180+P181</f>
        <v>10069</v>
      </c>
      <c r="Q179" s="18"/>
    </row>
    <row r="180" spans="1:17" ht="12.75" customHeight="1">
      <c r="A180" s="23" t="s">
        <v>20</v>
      </c>
      <c r="B180" s="25"/>
      <c r="C180" s="25">
        <v>1409</v>
      </c>
      <c r="D180" s="25"/>
      <c r="E180" s="43">
        <v>8660</v>
      </c>
      <c r="F180" s="24">
        <f>SUM(B180:E180)</f>
        <v>10069</v>
      </c>
      <c r="G180" s="29"/>
      <c r="H180" s="29"/>
      <c r="I180" s="29"/>
      <c r="J180" s="29"/>
      <c r="K180" s="24">
        <f>SUM(G180:J180)</f>
        <v>0</v>
      </c>
      <c r="L180" s="25">
        <f>+B180-G180</f>
        <v>0</v>
      </c>
      <c r="M180" s="25">
        <f>+C180-H180</f>
        <v>1409</v>
      </c>
      <c r="N180" s="25"/>
      <c r="O180" s="25">
        <f>+E180-J180</f>
        <v>8660</v>
      </c>
      <c r="P180" s="26">
        <f>SUM(L180:O180)</f>
        <v>10069</v>
      </c>
      <c r="Q180" s="18"/>
    </row>
    <row r="181" spans="1:17" ht="12.75" customHeight="1">
      <c r="A181" s="23" t="s">
        <v>21</v>
      </c>
      <c r="B181" s="25"/>
      <c r="C181" s="25"/>
      <c r="D181" s="25"/>
      <c r="E181" s="43"/>
      <c r="F181" s="24">
        <f>SUM(B181:E181)</f>
        <v>0</v>
      </c>
      <c r="G181" s="29"/>
      <c r="H181" s="29"/>
      <c r="I181" s="29"/>
      <c r="J181" s="29"/>
      <c r="K181" s="24">
        <f>SUM(G181:J181)</f>
        <v>0</v>
      </c>
      <c r="L181" s="25">
        <f>+B181-G181</f>
        <v>0</v>
      </c>
      <c r="M181" s="25">
        <f>+C181-H181</f>
        <v>0</v>
      </c>
      <c r="N181" s="25"/>
      <c r="O181" s="25">
        <f>+E181-J181</f>
        <v>0</v>
      </c>
      <c r="P181" s="26">
        <f>SUM(L181:O181)</f>
        <v>0</v>
      </c>
      <c r="Q181" s="18"/>
    </row>
    <row r="182" spans="1:17" ht="12.75" customHeight="1">
      <c r="A182" s="46"/>
      <c r="B182" s="24"/>
      <c r="C182" s="24"/>
      <c r="D182" s="24"/>
      <c r="E182" s="26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6"/>
      <c r="Q182" s="18"/>
    </row>
    <row r="183" spans="1:17" ht="12.75" customHeight="1">
      <c r="A183" s="42" t="s">
        <v>185</v>
      </c>
      <c r="B183" s="17">
        <f t="shared" ref="B183:K183" si="87">+B184+B188</f>
        <v>55135</v>
      </c>
      <c r="C183" s="17">
        <f t="shared" si="87"/>
        <v>52414</v>
      </c>
      <c r="D183" s="17">
        <f t="shared" si="87"/>
        <v>0</v>
      </c>
      <c r="E183" s="17">
        <f t="shared" si="87"/>
        <v>7616</v>
      </c>
      <c r="F183" s="17">
        <f t="shared" si="87"/>
        <v>115165</v>
      </c>
      <c r="G183" s="17">
        <f t="shared" si="87"/>
        <v>51836</v>
      </c>
      <c r="H183" s="17">
        <f t="shared" si="87"/>
        <v>43248</v>
      </c>
      <c r="I183" s="17">
        <f t="shared" si="87"/>
        <v>0</v>
      </c>
      <c r="J183" s="17">
        <f t="shared" si="87"/>
        <v>27</v>
      </c>
      <c r="K183" s="17">
        <f t="shared" si="87"/>
        <v>95111</v>
      </c>
      <c r="L183" s="17">
        <f>+L184+L188</f>
        <v>3299</v>
      </c>
      <c r="M183" s="17">
        <f>+M184+M188</f>
        <v>9166</v>
      </c>
      <c r="N183" s="17"/>
      <c r="O183" s="17">
        <f>+O184+O188</f>
        <v>7589</v>
      </c>
      <c r="P183" s="17">
        <f>+P184+P188</f>
        <v>20054</v>
      </c>
      <c r="Q183" s="18">
        <f>+K183/F183</f>
        <v>0.82586723396865369</v>
      </c>
    </row>
    <row r="184" spans="1:17" ht="12.75" customHeight="1">
      <c r="A184" s="41" t="s">
        <v>15</v>
      </c>
      <c r="B184" s="62">
        <f t="shared" ref="B184:K184" si="88">+B185+B186+B187</f>
        <v>55135</v>
      </c>
      <c r="C184" s="62">
        <f t="shared" si="88"/>
        <v>48908</v>
      </c>
      <c r="D184" s="62">
        <f t="shared" si="88"/>
        <v>0</v>
      </c>
      <c r="E184" s="62">
        <f t="shared" si="88"/>
        <v>5281</v>
      </c>
      <c r="F184" s="62">
        <f t="shared" si="88"/>
        <v>109324</v>
      </c>
      <c r="G184" s="62">
        <f t="shared" si="88"/>
        <v>51836</v>
      </c>
      <c r="H184" s="62">
        <f t="shared" si="88"/>
        <v>43248</v>
      </c>
      <c r="I184" s="62">
        <f t="shared" si="88"/>
        <v>0</v>
      </c>
      <c r="J184" s="62">
        <f t="shared" si="88"/>
        <v>27</v>
      </c>
      <c r="K184" s="62">
        <f t="shared" si="88"/>
        <v>95111</v>
      </c>
      <c r="L184" s="62">
        <f>+L185+L186+L187</f>
        <v>3299</v>
      </c>
      <c r="M184" s="62">
        <f>+M185+M186+M187</f>
        <v>5660</v>
      </c>
      <c r="N184" s="62"/>
      <c r="O184" s="62">
        <f>+O185+O186+O187</f>
        <v>5254</v>
      </c>
      <c r="P184" s="17">
        <f>+P185+P186+P187</f>
        <v>14213</v>
      </c>
      <c r="Q184" s="18"/>
    </row>
    <row r="185" spans="1:17" ht="12.75" customHeight="1">
      <c r="A185" s="22" t="s">
        <v>16</v>
      </c>
      <c r="B185" s="25">
        <v>47956</v>
      </c>
      <c r="C185" s="25">
        <v>48908</v>
      </c>
      <c r="D185" s="25"/>
      <c r="E185" s="43">
        <v>5281</v>
      </c>
      <c r="F185" s="24">
        <f>SUM(B185:E185)</f>
        <v>102145</v>
      </c>
      <c r="G185" s="29">
        <v>44964</v>
      </c>
      <c r="H185" s="29">
        <v>43248</v>
      </c>
      <c r="I185" s="29"/>
      <c r="J185" s="29">
        <v>27</v>
      </c>
      <c r="K185" s="24">
        <f>SUM(G185:J185)</f>
        <v>88239</v>
      </c>
      <c r="L185" s="25">
        <f t="shared" ref="L185:M187" si="89">+B185-G185</f>
        <v>2992</v>
      </c>
      <c r="M185" s="25">
        <f t="shared" si="89"/>
        <v>5660</v>
      </c>
      <c r="N185" s="25"/>
      <c r="O185" s="25">
        <f>+E185-J185</f>
        <v>5254</v>
      </c>
      <c r="P185" s="26">
        <f>SUM(L185:O185)</f>
        <v>13906</v>
      </c>
      <c r="Q185" s="18"/>
    </row>
    <row r="186" spans="1:17" ht="12.75" customHeight="1">
      <c r="A186" s="22" t="s">
        <v>17</v>
      </c>
      <c r="B186" s="25">
        <v>2972</v>
      </c>
      <c r="C186" s="25"/>
      <c r="D186" s="25"/>
      <c r="E186" s="43"/>
      <c r="F186" s="24">
        <f>SUM(B186:E186)</f>
        <v>2972</v>
      </c>
      <c r="G186" s="29">
        <v>2952</v>
      </c>
      <c r="H186" s="34"/>
      <c r="I186" s="34"/>
      <c r="J186" s="34"/>
      <c r="K186" s="24">
        <f>SUM(G186:J186)</f>
        <v>2952</v>
      </c>
      <c r="L186" s="25">
        <f t="shared" si="89"/>
        <v>20</v>
      </c>
      <c r="M186" s="25">
        <f t="shared" si="89"/>
        <v>0</v>
      </c>
      <c r="N186" s="25"/>
      <c r="O186" s="25">
        <f>+E186-J186</f>
        <v>0</v>
      </c>
      <c r="P186" s="26">
        <f>SUM(L186:O186)</f>
        <v>20</v>
      </c>
      <c r="Q186" s="18"/>
    </row>
    <row r="187" spans="1:17" ht="12.75" customHeight="1">
      <c r="A187" s="22" t="s">
        <v>18</v>
      </c>
      <c r="B187" s="25">
        <v>4207</v>
      </c>
      <c r="C187" s="25"/>
      <c r="D187" s="25"/>
      <c r="E187" s="43"/>
      <c r="F187" s="24">
        <f>SUM(B187:E187)</f>
        <v>4207</v>
      </c>
      <c r="G187" s="29">
        <v>3920</v>
      </c>
      <c r="H187" s="34"/>
      <c r="I187" s="34"/>
      <c r="J187" s="34"/>
      <c r="K187" s="24">
        <f>SUM(G187:J187)</f>
        <v>3920</v>
      </c>
      <c r="L187" s="25">
        <f t="shared" si="89"/>
        <v>287</v>
      </c>
      <c r="M187" s="25">
        <f t="shared" si="89"/>
        <v>0</v>
      </c>
      <c r="N187" s="25"/>
      <c r="O187" s="25">
        <f>+E187-J187</f>
        <v>0</v>
      </c>
      <c r="P187" s="26">
        <f>SUM(L187:O187)</f>
        <v>287</v>
      </c>
      <c r="Q187" s="18"/>
    </row>
    <row r="188" spans="1:17" ht="12.75" customHeight="1">
      <c r="A188" s="22" t="s">
        <v>19</v>
      </c>
      <c r="B188" s="44">
        <f t="shared" ref="B188:K188" si="90">+B189+B190</f>
        <v>0</v>
      </c>
      <c r="C188" s="44">
        <f t="shared" si="90"/>
        <v>3506</v>
      </c>
      <c r="D188" s="44">
        <f t="shared" si="90"/>
        <v>0</v>
      </c>
      <c r="E188" s="44">
        <f t="shared" si="90"/>
        <v>2335</v>
      </c>
      <c r="F188" s="44">
        <f t="shared" si="90"/>
        <v>5841</v>
      </c>
      <c r="G188" s="44">
        <f t="shared" si="90"/>
        <v>0</v>
      </c>
      <c r="H188" s="44">
        <f t="shared" si="90"/>
        <v>0</v>
      </c>
      <c r="I188" s="44">
        <f t="shared" si="90"/>
        <v>0</v>
      </c>
      <c r="J188" s="44">
        <f t="shared" si="90"/>
        <v>0</v>
      </c>
      <c r="K188" s="44">
        <f t="shared" si="90"/>
        <v>0</v>
      </c>
      <c r="L188" s="44">
        <f>+L189+L190</f>
        <v>0</v>
      </c>
      <c r="M188" s="44">
        <f>+M189+M190</f>
        <v>3506</v>
      </c>
      <c r="N188" s="44"/>
      <c r="O188" s="44">
        <f>+O189+O190</f>
        <v>2335</v>
      </c>
      <c r="P188" s="45">
        <f>+P189+P190</f>
        <v>5841</v>
      </c>
      <c r="Q188" s="18"/>
    </row>
    <row r="189" spans="1:17" ht="12.75" customHeight="1">
      <c r="A189" s="23" t="s">
        <v>20</v>
      </c>
      <c r="B189" s="25"/>
      <c r="C189" s="25">
        <v>3506</v>
      </c>
      <c r="D189" s="25"/>
      <c r="E189" s="43">
        <v>2335</v>
      </c>
      <c r="F189" s="24">
        <f>SUM(B189:E189)</f>
        <v>5841</v>
      </c>
      <c r="G189" s="29"/>
      <c r="H189" s="24"/>
      <c r="I189" s="24"/>
      <c r="J189" s="29"/>
      <c r="K189" s="24">
        <f>SUM(G189:J189)</f>
        <v>0</v>
      </c>
      <c r="L189" s="25">
        <f>+B189-G189</f>
        <v>0</v>
      </c>
      <c r="M189" s="25">
        <f>+C189-H189</f>
        <v>3506</v>
      </c>
      <c r="N189" s="25"/>
      <c r="O189" s="25">
        <f>+E189-J189</f>
        <v>2335</v>
      </c>
      <c r="P189" s="26">
        <f>SUM(L189:O189)</f>
        <v>5841</v>
      </c>
      <c r="Q189" s="18"/>
    </row>
    <row r="190" spans="1:17" ht="12.75" customHeight="1">
      <c r="A190" s="23" t="s">
        <v>21</v>
      </c>
      <c r="B190" s="25"/>
      <c r="C190" s="25"/>
      <c r="D190" s="25"/>
      <c r="E190" s="43"/>
      <c r="F190" s="24">
        <f>SUM(B190:E190)</f>
        <v>0</v>
      </c>
      <c r="G190" s="29"/>
      <c r="H190" s="29"/>
      <c r="I190" s="29"/>
      <c r="J190" s="29"/>
      <c r="K190" s="24">
        <f>SUM(G190:J190)</f>
        <v>0</v>
      </c>
      <c r="L190" s="25">
        <f>+B190-G190</f>
        <v>0</v>
      </c>
      <c r="M190" s="25">
        <f>+C190-H190</f>
        <v>0</v>
      </c>
      <c r="N190" s="25"/>
      <c r="O190" s="25">
        <f>+E190-J190</f>
        <v>0</v>
      </c>
      <c r="P190" s="26">
        <f>SUM(L190:O190)</f>
        <v>0</v>
      </c>
      <c r="Q190" s="18"/>
    </row>
    <row r="191" spans="1:17" ht="12.75" customHeight="1">
      <c r="A191" s="46"/>
      <c r="B191" s="24"/>
      <c r="C191" s="24"/>
      <c r="D191" s="24"/>
      <c r="E191" s="26"/>
      <c r="F191" s="24"/>
      <c r="G191" s="32"/>
      <c r="H191" s="32"/>
      <c r="I191" s="32"/>
      <c r="J191" s="32"/>
      <c r="K191" s="32"/>
      <c r="L191" s="24"/>
      <c r="M191" s="24"/>
      <c r="N191" s="24"/>
      <c r="O191" s="24"/>
      <c r="P191" s="26"/>
      <c r="Q191" s="18"/>
    </row>
    <row r="192" spans="1:17" ht="12.75" customHeight="1">
      <c r="A192" s="42" t="s">
        <v>186</v>
      </c>
      <c r="B192" s="17">
        <f t="shared" ref="B192:K192" si="91">+B193+B197</f>
        <v>425211</v>
      </c>
      <c r="C192" s="17">
        <f t="shared" si="91"/>
        <v>96904</v>
      </c>
      <c r="D192" s="17">
        <f t="shared" si="91"/>
        <v>0</v>
      </c>
      <c r="E192" s="17">
        <f t="shared" si="91"/>
        <v>0</v>
      </c>
      <c r="F192" s="17">
        <f t="shared" si="91"/>
        <v>522115</v>
      </c>
      <c r="G192" s="17">
        <f t="shared" si="91"/>
        <v>417675</v>
      </c>
      <c r="H192" s="17">
        <f t="shared" si="91"/>
        <v>96687</v>
      </c>
      <c r="I192" s="17">
        <f t="shared" si="91"/>
        <v>0</v>
      </c>
      <c r="J192" s="17">
        <f t="shared" si="91"/>
        <v>0</v>
      </c>
      <c r="K192" s="17">
        <f t="shared" si="91"/>
        <v>514362</v>
      </c>
      <c r="L192" s="17">
        <f>+L193+L197</f>
        <v>7536</v>
      </c>
      <c r="M192" s="17">
        <f>+M193+M197</f>
        <v>217</v>
      </c>
      <c r="N192" s="17"/>
      <c r="O192" s="17">
        <f>+O193+O197</f>
        <v>0</v>
      </c>
      <c r="P192" s="17">
        <f>+P193+P197</f>
        <v>7753</v>
      </c>
      <c r="Q192" s="18">
        <f>+K192/F192</f>
        <v>0.98515078095821806</v>
      </c>
    </row>
    <row r="193" spans="1:17" ht="12.75" customHeight="1">
      <c r="A193" s="41" t="s">
        <v>15</v>
      </c>
      <c r="B193" s="62">
        <f t="shared" ref="B193:K193" si="92">+B194+B195+B196</f>
        <v>425211</v>
      </c>
      <c r="C193" s="62">
        <f t="shared" si="92"/>
        <v>96737</v>
      </c>
      <c r="D193" s="62">
        <f t="shared" si="92"/>
        <v>0</v>
      </c>
      <c r="E193" s="62">
        <f t="shared" si="92"/>
        <v>0</v>
      </c>
      <c r="F193" s="62">
        <f t="shared" si="92"/>
        <v>521948</v>
      </c>
      <c r="G193" s="62">
        <f t="shared" si="92"/>
        <v>417675</v>
      </c>
      <c r="H193" s="62">
        <f t="shared" si="92"/>
        <v>96687</v>
      </c>
      <c r="I193" s="62">
        <f t="shared" si="92"/>
        <v>0</v>
      </c>
      <c r="J193" s="62">
        <f t="shared" si="92"/>
        <v>0</v>
      </c>
      <c r="K193" s="62">
        <f t="shared" si="92"/>
        <v>514362</v>
      </c>
      <c r="L193" s="62">
        <f>+L194+L195+L196</f>
        <v>7536</v>
      </c>
      <c r="M193" s="62">
        <f>+M194+M195+M196</f>
        <v>50</v>
      </c>
      <c r="N193" s="62"/>
      <c r="O193" s="62">
        <f>+O194+O195+O196</f>
        <v>0</v>
      </c>
      <c r="P193" s="17">
        <f>+P194+P195+P196</f>
        <v>7586</v>
      </c>
      <c r="Q193" s="18"/>
    </row>
    <row r="194" spans="1:17" ht="12.75" customHeight="1">
      <c r="A194" s="22" t="s">
        <v>16</v>
      </c>
      <c r="B194" s="25">
        <v>330359</v>
      </c>
      <c r="C194" s="25">
        <v>85092</v>
      </c>
      <c r="D194" s="25"/>
      <c r="E194" s="43"/>
      <c r="F194" s="24">
        <f>SUM(B194:E194)</f>
        <v>415451</v>
      </c>
      <c r="G194" s="29">
        <v>330186</v>
      </c>
      <c r="H194" s="29">
        <v>85042</v>
      </c>
      <c r="I194" s="29"/>
      <c r="J194" s="29"/>
      <c r="K194" s="24">
        <f>SUM(G194:J194)</f>
        <v>415228</v>
      </c>
      <c r="L194" s="25">
        <f t="shared" ref="L194:M196" si="93">+B194-G194</f>
        <v>173</v>
      </c>
      <c r="M194" s="25">
        <f t="shared" si="93"/>
        <v>50</v>
      </c>
      <c r="N194" s="25"/>
      <c r="O194" s="25">
        <f>+E194-J194</f>
        <v>0</v>
      </c>
      <c r="P194" s="26">
        <f>SUM(L194:O194)</f>
        <v>223</v>
      </c>
      <c r="Q194" s="18"/>
    </row>
    <row r="195" spans="1:17" ht="12.75" customHeight="1">
      <c r="A195" s="22" t="s">
        <v>17</v>
      </c>
      <c r="B195" s="25">
        <v>63220</v>
      </c>
      <c r="C195" s="25">
        <v>11645</v>
      </c>
      <c r="D195" s="25"/>
      <c r="E195" s="43"/>
      <c r="F195" s="24">
        <f>SUM(B195:E195)</f>
        <v>74865</v>
      </c>
      <c r="G195" s="29">
        <f>2539+55764+3424</f>
        <v>61727</v>
      </c>
      <c r="H195" s="29">
        <f>8968+2677</f>
        <v>11645</v>
      </c>
      <c r="I195" s="29"/>
      <c r="J195" s="34"/>
      <c r="K195" s="24">
        <f>SUM(G195:J195)</f>
        <v>73372</v>
      </c>
      <c r="L195" s="25">
        <f t="shared" si="93"/>
        <v>1493</v>
      </c>
      <c r="M195" s="25">
        <f t="shared" si="93"/>
        <v>0</v>
      </c>
      <c r="N195" s="25"/>
      <c r="O195" s="25">
        <f>+E195-J195</f>
        <v>0</v>
      </c>
      <c r="P195" s="26">
        <f>SUM(L195:O195)</f>
        <v>1493</v>
      </c>
      <c r="Q195" s="18"/>
    </row>
    <row r="196" spans="1:17" ht="12.75" customHeight="1">
      <c r="A196" s="22" t="s">
        <v>18</v>
      </c>
      <c r="B196" s="25">
        <v>31632</v>
      </c>
      <c r="C196" s="25"/>
      <c r="D196" s="25"/>
      <c r="E196" s="43"/>
      <c r="F196" s="24">
        <f>SUM(B196:E196)</f>
        <v>31632</v>
      </c>
      <c r="G196" s="29">
        <v>25762</v>
      </c>
      <c r="H196" s="34"/>
      <c r="I196" s="34"/>
      <c r="J196" s="34"/>
      <c r="K196" s="24">
        <f>SUM(G196:J196)</f>
        <v>25762</v>
      </c>
      <c r="L196" s="25">
        <f t="shared" si="93"/>
        <v>5870</v>
      </c>
      <c r="M196" s="25">
        <f t="shared" si="93"/>
        <v>0</v>
      </c>
      <c r="N196" s="25"/>
      <c r="O196" s="25">
        <f>+E196-J196</f>
        <v>0</v>
      </c>
      <c r="P196" s="26">
        <f>SUM(L196:O196)</f>
        <v>5870</v>
      </c>
      <c r="Q196" s="18"/>
    </row>
    <row r="197" spans="1:17" ht="12.75" customHeight="1">
      <c r="A197" s="22" t="s">
        <v>19</v>
      </c>
      <c r="B197" s="44">
        <f t="shared" ref="B197:K197" si="94">+B198+B199</f>
        <v>0</v>
      </c>
      <c r="C197" s="44">
        <f t="shared" si="94"/>
        <v>167</v>
      </c>
      <c r="D197" s="44">
        <f t="shared" si="94"/>
        <v>0</v>
      </c>
      <c r="E197" s="44">
        <f t="shared" si="94"/>
        <v>0</v>
      </c>
      <c r="F197" s="44">
        <f t="shared" si="94"/>
        <v>167</v>
      </c>
      <c r="G197" s="44">
        <f t="shared" si="94"/>
        <v>0</v>
      </c>
      <c r="H197" s="44">
        <f t="shared" si="94"/>
        <v>0</v>
      </c>
      <c r="I197" s="44">
        <f t="shared" si="94"/>
        <v>0</v>
      </c>
      <c r="J197" s="44">
        <f t="shared" si="94"/>
        <v>0</v>
      </c>
      <c r="K197" s="44">
        <f t="shared" si="94"/>
        <v>0</v>
      </c>
      <c r="L197" s="44">
        <f>+L198+L199</f>
        <v>0</v>
      </c>
      <c r="M197" s="44">
        <f>+M198+M199</f>
        <v>167</v>
      </c>
      <c r="N197" s="44"/>
      <c r="O197" s="44">
        <f>+O198+O199</f>
        <v>0</v>
      </c>
      <c r="P197" s="45">
        <f>+P198+P199</f>
        <v>167</v>
      </c>
      <c r="Q197" s="18"/>
    </row>
    <row r="198" spans="1:17" ht="12.75" customHeight="1">
      <c r="A198" s="23" t="s">
        <v>20</v>
      </c>
      <c r="B198" s="25"/>
      <c r="C198" s="25">
        <v>167</v>
      </c>
      <c r="D198" s="25"/>
      <c r="E198" s="43"/>
      <c r="F198" s="24">
        <f>SUM(B198:E198)</f>
        <v>167</v>
      </c>
      <c r="G198" s="29"/>
      <c r="H198" s="29"/>
      <c r="I198" s="29"/>
      <c r="J198" s="29"/>
      <c r="K198" s="24">
        <f>SUM(G198:J198)</f>
        <v>0</v>
      </c>
      <c r="L198" s="25">
        <f>+B198-G198</f>
        <v>0</v>
      </c>
      <c r="M198" s="25">
        <f>+C198-H198</f>
        <v>167</v>
      </c>
      <c r="N198" s="25"/>
      <c r="O198" s="25">
        <f>+E198-J198</f>
        <v>0</v>
      </c>
      <c r="P198" s="26">
        <f>SUM(L198:O198)</f>
        <v>167</v>
      </c>
      <c r="Q198" s="18"/>
    </row>
    <row r="199" spans="1:17" ht="12.75" customHeight="1">
      <c r="A199" s="23" t="s">
        <v>21</v>
      </c>
      <c r="B199" s="25"/>
      <c r="C199" s="25"/>
      <c r="D199" s="25"/>
      <c r="E199" s="43"/>
      <c r="F199" s="24">
        <f>SUM(B199:E199)</f>
        <v>0</v>
      </c>
      <c r="G199" s="29"/>
      <c r="H199" s="29"/>
      <c r="I199" s="29"/>
      <c r="J199" s="29"/>
      <c r="K199" s="24">
        <f>SUM(G199:J199)</f>
        <v>0</v>
      </c>
      <c r="L199" s="25">
        <f>+B199-G199</f>
        <v>0</v>
      </c>
      <c r="M199" s="25">
        <f>+C199-H199</f>
        <v>0</v>
      </c>
      <c r="N199" s="25"/>
      <c r="O199" s="25">
        <f>+E199-J199</f>
        <v>0</v>
      </c>
      <c r="P199" s="26">
        <f>SUM(L199:O199)</f>
        <v>0</v>
      </c>
      <c r="Q199" s="18"/>
    </row>
    <row r="200" spans="1:17" ht="12.75" customHeight="1">
      <c r="A200" s="46"/>
      <c r="B200" s="24"/>
      <c r="C200" s="24"/>
      <c r="D200" s="24"/>
      <c r="E200" s="26"/>
      <c r="F200" s="24"/>
      <c r="G200" s="32"/>
      <c r="H200" s="32"/>
      <c r="I200" s="32"/>
      <c r="J200" s="32"/>
      <c r="K200" s="32"/>
      <c r="L200" s="24"/>
      <c r="M200" s="24"/>
      <c r="N200" s="24"/>
      <c r="O200" s="24"/>
      <c r="P200" s="26"/>
      <c r="Q200" s="18"/>
    </row>
    <row r="201" spans="1:17" ht="12.75" customHeight="1">
      <c r="A201" s="41" t="s">
        <v>187</v>
      </c>
      <c r="B201" s="17">
        <f t="shared" ref="B201:K201" si="95">+B202+B206</f>
        <v>586276</v>
      </c>
      <c r="C201" s="17">
        <f t="shared" si="95"/>
        <v>396669</v>
      </c>
      <c r="D201" s="17">
        <f t="shared" si="95"/>
        <v>0</v>
      </c>
      <c r="E201" s="17">
        <f t="shared" si="95"/>
        <v>14151</v>
      </c>
      <c r="F201" s="17">
        <f t="shared" si="95"/>
        <v>997096</v>
      </c>
      <c r="G201" s="17">
        <f t="shared" si="95"/>
        <v>567219.848</v>
      </c>
      <c r="H201" s="17">
        <f t="shared" si="95"/>
        <v>284322.185</v>
      </c>
      <c r="I201" s="17">
        <f t="shared" si="95"/>
        <v>0</v>
      </c>
      <c r="J201" s="17">
        <f t="shared" si="95"/>
        <v>12597.137000000001</v>
      </c>
      <c r="K201" s="17">
        <f t="shared" si="95"/>
        <v>864139.17</v>
      </c>
      <c r="L201" s="17">
        <f>+L202+L206</f>
        <v>19056.151999999995</v>
      </c>
      <c r="M201" s="17">
        <f>+M202+M206</f>
        <v>112346.815</v>
      </c>
      <c r="N201" s="17"/>
      <c r="O201" s="17">
        <f>+O202+O206</f>
        <v>1553.8629999999994</v>
      </c>
      <c r="P201" s="17">
        <f>+P202+P206</f>
        <v>132956.82999999999</v>
      </c>
      <c r="Q201" s="18">
        <f>+K201/F201</f>
        <v>0.86665593884641001</v>
      </c>
    </row>
    <row r="202" spans="1:17" ht="12.75" customHeight="1">
      <c r="A202" s="41" t="s">
        <v>15</v>
      </c>
      <c r="B202" s="62">
        <f t="shared" ref="B202:K202" si="96">+B203+B204+B205</f>
        <v>586276</v>
      </c>
      <c r="C202" s="62">
        <f t="shared" si="96"/>
        <v>366004</v>
      </c>
      <c r="D202" s="62">
        <f t="shared" si="96"/>
        <v>0</v>
      </c>
      <c r="E202" s="62">
        <f t="shared" si="96"/>
        <v>14000</v>
      </c>
      <c r="F202" s="62">
        <f t="shared" si="96"/>
        <v>966280</v>
      </c>
      <c r="G202" s="62">
        <f t="shared" si="96"/>
        <v>567219.848</v>
      </c>
      <c r="H202" s="62">
        <f t="shared" si="96"/>
        <v>284322.185</v>
      </c>
      <c r="I202" s="62">
        <f t="shared" si="96"/>
        <v>0</v>
      </c>
      <c r="J202" s="62">
        <f t="shared" si="96"/>
        <v>12597.137000000001</v>
      </c>
      <c r="K202" s="62">
        <f t="shared" si="96"/>
        <v>864139.17</v>
      </c>
      <c r="L202" s="62">
        <f>+L203+L204+L205</f>
        <v>19056.151999999995</v>
      </c>
      <c r="M202" s="62">
        <f>+M203+M204+M205</f>
        <v>81681.815000000002</v>
      </c>
      <c r="N202" s="62"/>
      <c r="O202" s="62">
        <f>+O203+O204+O205</f>
        <v>1402.8629999999994</v>
      </c>
      <c r="P202" s="17">
        <f>+P203+P204+P205</f>
        <v>102140.82999999999</v>
      </c>
      <c r="Q202" s="18"/>
    </row>
    <row r="203" spans="1:17" ht="12.75" customHeight="1">
      <c r="A203" s="22" t="s">
        <v>16</v>
      </c>
      <c r="B203" s="25">
        <v>497659</v>
      </c>
      <c r="C203" s="25">
        <v>366004</v>
      </c>
      <c r="D203" s="25"/>
      <c r="E203" s="43">
        <v>14000</v>
      </c>
      <c r="F203" s="24">
        <f>SUM(B203:E203)</f>
        <v>877663</v>
      </c>
      <c r="G203" s="29">
        <v>488904.78700000001</v>
      </c>
      <c r="H203" s="29">
        <v>284322.185</v>
      </c>
      <c r="I203" s="29"/>
      <c r="J203" s="29">
        <v>12597.137000000001</v>
      </c>
      <c r="K203" s="24">
        <f>SUM(G203:J203)</f>
        <v>785824.10900000005</v>
      </c>
      <c r="L203" s="25">
        <f t="shared" ref="L203:M205" si="97">+B203-G203</f>
        <v>8754.2129999999888</v>
      </c>
      <c r="M203" s="25">
        <f t="shared" si="97"/>
        <v>81681.815000000002</v>
      </c>
      <c r="N203" s="25"/>
      <c r="O203" s="25">
        <f>+E203-J203</f>
        <v>1402.8629999999994</v>
      </c>
      <c r="P203" s="26">
        <f>SUM(L203:O203)</f>
        <v>91838.890999999989</v>
      </c>
      <c r="Q203" s="18"/>
    </row>
    <row r="204" spans="1:17" ht="12.75" customHeight="1">
      <c r="A204" s="22" t="s">
        <v>17</v>
      </c>
      <c r="B204" s="25">
        <v>40522</v>
      </c>
      <c r="C204" s="25"/>
      <c r="D204" s="25"/>
      <c r="E204" s="43"/>
      <c r="F204" s="24">
        <f>SUM(B204:E204)</f>
        <v>40522</v>
      </c>
      <c r="G204" s="29">
        <v>34070.021999999997</v>
      </c>
      <c r="H204" s="34"/>
      <c r="I204" s="34"/>
      <c r="J204" s="34"/>
      <c r="K204" s="24">
        <f>SUM(G204:J204)</f>
        <v>34070.021999999997</v>
      </c>
      <c r="L204" s="25">
        <f t="shared" si="97"/>
        <v>6451.9780000000028</v>
      </c>
      <c r="M204" s="25">
        <f t="shared" si="97"/>
        <v>0</v>
      </c>
      <c r="N204" s="25"/>
      <c r="O204" s="25">
        <f>+E204-J204</f>
        <v>0</v>
      </c>
      <c r="P204" s="26">
        <f>SUM(L204:O204)</f>
        <v>6451.9780000000028</v>
      </c>
      <c r="Q204" s="18"/>
    </row>
    <row r="205" spans="1:17" ht="12.75" customHeight="1">
      <c r="A205" s="22" t="s">
        <v>18</v>
      </c>
      <c r="B205" s="25">
        <v>48095</v>
      </c>
      <c r="C205" s="25"/>
      <c r="D205" s="25"/>
      <c r="E205" s="43"/>
      <c r="F205" s="24">
        <f>SUM(B205:E205)</f>
        <v>48095</v>
      </c>
      <c r="G205" s="29">
        <v>44245.038999999997</v>
      </c>
      <c r="H205" s="34"/>
      <c r="I205" s="34"/>
      <c r="J205" s="34"/>
      <c r="K205" s="24">
        <f>SUM(G205:J205)</f>
        <v>44245.038999999997</v>
      </c>
      <c r="L205" s="25">
        <f t="shared" si="97"/>
        <v>3849.961000000003</v>
      </c>
      <c r="M205" s="25">
        <f t="shared" si="97"/>
        <v>0</v>
      </c>
      <c r="N205" s="25"/>
      <c r="O205" s="25">
        <f>+E205-J205</f>
        <v>0</v>
      </c>
      <c r="P205" s="26">
        <f>SUM(L205:O205)</f>
        <v>3849.961000000003</v>
      </c>
      <c r="Q205" s="18"/>
    </row>
    <row r="206" spans="1:17" ht="12.75" customHeight="1">
      <c r="A206" s="22" t="s">
        <v>19</v>
      </c>
      <c r="B206" s="44">
        <f t="shared" ref="B206:K206" si="98">+B207+B208</f>
        <v>0</v>
      </c>
      <c r="C206" s="44">
        <f t="shared" si="98"/>
        <v>30665</v>
      </c>
      <c r="D206" s="44">
        <f t="shared" si="98"/>
        <v>0</v>
      </c>
      <c r="E206" s="44">
        <f t="shared" si="98"/>
        <v>151</v>
      </c>
      <c r="F206" s="44">
        <f t="shared" si="98"/>
        <v>30816</v>
      </c>
      <c r="G206" s="44">
        <f t="shared" si="98"/>
        <v>0</v>
      </c>
      <c r="H206" s="44">
        <f t="shared" si="98"/>
        <v>0</v>
      </c>
      <c r="I206" s="44">
        <f t="shared" si="98"/>
        <v>0</v>
      </c>
      <c r="J206" s="44">
        <f t="shared" si="98"/>
        <v>0</v>
      </c>
      <c r="K206" s="44">
        <f t="shared" si="98"/>
        <v>0</v>
      </c>
      <c r="L206" s="44">
        <f>+L207+L208</f>
        <v>0</v>
      </c>
      <c r="M206" s="44">
        <f>+M207+M208</f>
        <v>30665</v>
      </c>
      <c r="N206" s="44"/>
      <c r="O206" s="44">
        <f>+O207+O208</f>
        <v>151</v>
      </c>
      <c r="P206" s="45">
        <f>+P207+P208</f>
        <v>30816</v>
      </c>
      <c r="Q206" s="18"/>
    </row>
    <row r="207" spans="1:17" ht="12.75" customHeight="1">
      <c r="A207" s="23" t="s">
        <v>20</v>
      </c>
      <c r="B207" s="25"/>
      <c r="C207" s="25">
        <v>30665</v>
      </c>
      <c r="D207" s="25"/>
      <c r="E207" s="43">
        <v>151</v>
      </c>
      <c r="F207" s="24">
        <f>SUM(B207:E207)</f>
        <v>30816</v>
      </c>
      <c r="G207" s="29"/>
      <c r="H207" s="29"/>
      <c r="I207" s="29"/>
      <c r="J207" s="29"/>
      <c r="K207" s="24">
        <f>SUM(G207:J207)</f>
        <v>0</v>
      </c>
      <c r="L207" s="25">
        <f>+B207-G207</f>
        <v>0</v>
      </c>
      <c r="M207" s="25">
        <f>+C207-H207</f>
        <v>30665</v>
      </c>
      <c r="N207" s="25"/>
      <c r="O207" s="25">
        <f>+E207-J207</f>
        <v>151</v>
      </c>
      <c r="P207" s="26">
        <f>SUM(L207:O207)</f>
        <v>30816</v>
      </c>
      <c r="Q207" s="18"/>
    </row>
    <row r="208" spans="1:17" ht="12.75" customHeight="1">
      <c r="A208" s="23" t="s">
        <v>21</v>
      </c>
      <c r="B208" s="25"/>
      <c r="C208" s="25"/>
      <c r="D208" s="25"/>
      <c r="E208" s="43"/>
      <c r="F208" s="24">
        <f>SUM(B208:E208)</f>
        <v>0</v>
      </c>
      <c r="G208" s="29"/>
      <c r="H208" s="29"/>
      <c r="I208" s="29"/>
      <c r="J208" s="29"/>
      <c r="K208" s="24">
        <f>SUM(G208:J208)</f>
        <v>0</v>
      </c>
      <c r="L208" s="25">
        <f>+B208-G208</f>
        <v>0</v>
      </c>
      <c r="M208" s="25">
        <f>+C208-H208</f>
        <v>0</v>
      </c>
      <c r="N208" s="25"/>
      <c r="O208" s="25">
        <f>+E208-J208</f>
        <v>0</v>
      </c>
      <c r="P208" s="26">
        <f>SUM(L208:O208)</f>
        <v>0</v>
      </c>
      <c r="Q208" s="18"/>
    </row>
    <row r="209" spans="1:17" ht="12.75" customHeight="1">
      <c r="A209" s="83"/>
      <c r="B209" s="77"/>
      <c r="C209" s="77"/>
      <c r="D209" s="77"/>
      <c r="E209" s="75"/>
      <c r="F209" s="77"/>
      <c r="G209" s="82"/>
      <c r="H209" s="82"/>
      <c r="I209" s="82"/>
      <c r="J209" s="82"/>
      <c r="K209" s="82"/>
      <c r="L209" s="77"/>
      <c r="M209" s="77"/>
      <c r="N209" s="77"/>
      <c r="O209" s="77"/>
      <c r="P209" s="75"/>
      <c r="Q209" s="76"/>
    </row>
    <row r="210" spans="1:17" ht="12.75" customHeight="1">
      <c r="A210" s="42" t="s">
        <v>188</v>
      </c>
      <c r="B210" s="17">
        <f t="shared" ref="B210:K210" si="99">+B211+B215</f>
        <v>443623</v>
      </c>
      <c r="C210" s="17">
        <f t="shared" si="99"/>
        <v>158962</v>
      </c>
      <c r="D210" s="17">
        <f t="shared" si="99"/>
        <v>0</v>
      </c>
      <c r="E210" s="17">
        <f t="shared" si="99"/>
        <v>56031</v>
      </c>
      <c r="F210" s="17">
        <f t="shared" si="99"/>
        <v>658616</v>
      </c>
      <c r="G210" s="17">
        <f t="shared" si="99"/>
        <v>443623</v>
      </c>
      <c r="H210" s="17">
        <f t="shared" si="99"/>
        <v>158962</v>
      </c>
      <c r="I210" s="17">
        <f t="shared" si="99"/>
        <v>0</v>
      </c>
      <c r="J210" s="17">
        <f t="shared" si="99"/>
        <v>56031</v>
      </c>
      <c r="K210" s="17">
        <f t="shared" si="99"/>
        <v>658616</v>
      </c>
      <c r="L210" s="17">
        <f>+L211+L215</f>
        <v>0</v>
      </c>
      <c r="M210" s="17">
        <f>+M211+M215</f>
        <v>0</v>
      </c>
      <c r="N210" s="17"/>
      <c r="O210" s="17">
        <f>+O211+O215</f>
        <v>0</v>
      </c>
      <c r="P210" s="17">
        <f>+P211+P215</f>
        <v>0</v>
      </c>
      <c r="Q210" s="18">
        <f>+K210/F210</f>
        <v>1</v>
      </c>
    </row>
    <row r="211" spans="1:17" ht="12.75" customHeight="1">
      <c r="A211" s="41" t="s">
        <v>15</v>
      </c>
      <c r="B211" s="62">
        <f t="shared" ref="B211:K211" si="100">+B212+B213+B214</f>
        <v>443623</v>
      </c>
      <c r="C211" s="62">
        <f t="shared" si="100"/>
        <v>158962</v>
      </c>
      <c r="D211" s="62">
        <f t="shared" si="100"/>
        <v>0</v>
      </c>
      <c r="E211" s="62">
        <f t="shared" si="100"/>
        <v>56031</v>
      </c>
      <c r="F211" s="62">
        <f t="shared" si="100"/>
        <v>658616</v>
      </c>
      <c r="G211" s="62">
        <f t="shared" si="100"/>
        <v>443623</v>
      </c>
      <c r="H211" s="62">
        <f t="shared" si="100"/>
        <v>158962</v>
      </c>
      <c r="I211" s="62">
        <f t="shared" si="100"/>
        <v>0</v>
      </c>
      <c r="J211" s="62">
        <f t="shared" si="100"/>
        <v>56031</v>
      </c>
      <c r="K211" s="62">
        <f t="shared" si="100"/>
        <v>658616</v>
      </c>
      <c r="L211" s="62">
        <f>+L212+L213+L214</f>
        <v>0</v>
      </c>
      <c r="M211" s="62">
        <f>+M212+M213+M214</f>
        <v>0</v>
      </c>
      <c r="N211" s="62"/>
      <c r="O211" s="62">
        <f>+O212+O213+O214</f>
        <v>0</v>
      </c>
      <c r="P211" s="17">
        <f>+P212+P213+P214</f>
        <v>0</v>
      </c>
      <c r="Q211" s="18"/>
    </row>
    <row r="212" spans="1:17" ht="12.75" customHeight="1">
      <c r="A212" s="22" t="s">
        <v>16</v>
      </c>
      <c r="B212" s="25">
        <v>377619</v>
      </c>
      <c r="C212" s="25">
        <v>157306</v>
      </c>
      <c r="D212" s="25"/>
      <c r="E212" s="43">
        <v>56031</v>
      </c>
      <c r="F212" s="24">
        <f>SUM(B212:E212)</f>
        <v>590956</v>
      </c>
      <c r="G212" s="29">
        <v>377619</v>
      </c>
      <c r="H212" s="29">
        <v>157306</v>
      </c>
      <c r="I212" s="29"/>
      <c r="J212" s="29">
        <v>56031</v>
      </c>
      <c r="K212" s="24">
        <f>SUM(G212:J212)</f>
        <v>590956</v>
      </c>
      <c r="L212" s="25">
        <f t="shared" ref="L212:M214" si="101">+B212-G212</f>
        <v>0</v>
      </c>
      <c r="M212" s="25">
        <f t="shared" si="101"/>
        <v>0</v>
      </c>
      <c r="N212" s="25"/>
      <c r="O212" s="25">
        <f>+E212-J212</f>
        <v>0</v>
      </c>
      <c r="P212" s="26">
        <f>SUM(L212:O212)</f>
        <v>0</v>
      </c>
      <c r="Q212" s="18"/>
    </row>
    <row r="213" spans="1:17" ht="12.75" customHeight="1">
      <c r="A213" s="23" t="s">
        <v>17</v>
      </c>
      <c r="B213" s="25">
        <v>31884</v>
      </c>
      <c r="C213" s="25">
        <v>1656</v>
      </c>
      <c r="D213" s="25"/>
      <c r="E213" s="25"/>
      <c r="F213" s="24">
        <f>SUM(B213:E213)</f>
        <v>33540</v>
      </c>
      <c r="G213" s="29">
        <f>15006+16878</f>
        <v>31884</v>
      </c>
      <c r="H213" s="34">
        <v>1656</v>
      </c>
      <c r="I213" s="34"/>
      <c r="J213" s="34"/>
      <c r="K213" s="24">
        <f>SUM(G213:J213)</f>
        <v>33540</v>
      </c>
      <c r="L213" s="25">
        <f t="shared" si="101"/>
        <v>0</v>
      </c>
      <c r="M213" s="25">
        <f t="shared" si="101"/>
        <v>0</v>
      </c>
      <c r="N213" s="25"/>
      <c r="O213" s="25">
        <f>+E213-J213</f>
        <v>0</v>
      </c>
      <c r="P213" s="26">
        <f>SUM(L213:O213)</f>
        <v>0</v>
      </c>
      <c r="Q213" s="18"/>
    </row>
    <row r="214" spans="1:17" ht="12.75" customHeight="1">
      <c r="A214" s="22" t="s">
        <v>18</v>
      </c>
      <c r="B214" s="25">
        <v>34120</v>
      </c>
      <c r="C214" s="25"/>
      <c r="D214" s="25"/>
      <c r="E214" s="43"/>
      <c r="F214" s="24">
        <f>SUM(B214:E214)</f>
        <v>34120</v>
      </c>
      <c r="G214" s="29">
        <v>34120</v>
      </c>
      <c r="H214" s="34"/>
      <c r="I214" s="34"/>
      <c r="J214" s="29"/>
      <c r="K214" s="24">
        <f>SUM(G214:J214)</f>
        <v>34120</v>
      </c>
      <c r="L214" s="25">
        <f t="shared" si="101"/>
        <v>0</v>
      </c>
      <c r="M214" s="25">
        <f t="shared" si="101"/>
        <v>0</v>
      </c>
      <c r="N214" s="25"/>
      <c r="O214" s="25">
        <f>+E214-J214</f>
        <v>0</v>
      </c>
      <c r="P214" s="26">
        <f>SUM(L214:O214)</f>
        <v>0</v>
      </c>
      <c r="Q214" s="18"/>
    </row>
    <row r="215" spans="1:17" ht="12.75" customHeight="1">
      <c r="A215" s="22" t="s">
        <v>19</v>
      </c>
      <c r="B215" s="44">
        <f t="shared" ref="B215:K215" si="102">+B216+B217</f>
        <v>0</v>
      </c>
      <c r="C215" s="44">
        <f t="shared" si="102"/>
        <v>0</v>
      </c>
      <c r="D215" s="44">
        <f t="shared" si="102"/>
        <v>0</v>
      </c>
      <c r="E215" s="44">
        <f t="shared" si="102"/>
        <v>0</v>
      </c>
      <c r="F215" s="44">
        <f t="shared" si="102"/>
        <v>0</v>
      </c>
      <c r="G215" s="44">
        <f t="shared" si="102"/>
        <v>0</v>
      </c>
      <c r="H215" s="44">
        <f t="shared" si="102"/>
        <v>0</v>
      </c>
      <c r="I215" s="44">
        <f t="shared" si="102"/>
        <v>0</v>
      </c>
      <c r="J215" s="44">
        <f t="shared" si="102"/>
        <v>0</v>
      </c>
      <c r="K215" s="44">
        <f t="shared" si="102"/>
        <v>0</v>
      </c>
      <c r="L215" s="44">
        <f>+L216+L217</f>
        <v>0</v>
      </c>
      <c r="M215" s="44">
        <f>+M216+M217</f>
        <v>0</v>
      </c>
      <c r="N215" s="44"/>
      <c r="O215" s="44">
        <f>+O216+O217</f>
        <v>0</v>
      </c>
      <c r="P215" s="45">
        <f>+P216+P217</f>
        <v>0</v>
      </c>
      <c r="Q215" s="18"/>
    </row>
    <row r="216" spans="1:17" ht="12.75" customHeight="1">
      <c r="A216" s="23" t="s">
        <v>20</v>
      </c>
      <c r="B216" s="25"/>
      <c r="C216" s="25"/>
      <c r="D216" s="25"/>
      <c r="E216" s="43"/>
      <c r="F216" s="24">
        <f>SUM(B216:E216)</f>
        <v>0</v>
      </c>
      <c r="G216" s="29"/>
      <c r="H216" s="29"/>
      <c r="I216" s="29"/>
      <c r="J216" s="29"/>
      <c r="K216" s="24">
        <f>SUM(G216:J216)</f>
        <v>0</v>
      </c>
      <c r="L216" s="25">
        <f>+B216-G216</f>
        <v>0</v>
      </c>
      <c r="M216" s="25">
        <f>+C216-H216</f>
        <v>0</v>
      </c>
      <c r="N216" s="25"/>
      <c r="O216" s="25">
        <f>+E216-J216</f>
        <v>0</v>
      </c>
      <c r="P216" s="26">
        <f>SUM(L216:O216)</f>
        <v>0</v>
      </c>
      <c r="Q216" s="18"/>
    </row>
    <row r="217" spans="1:17" ht="12.75" customHeight="1">
      <c r="A217" s="23" t="s">
        <v>21</v>
      </c>
      <c r="B217" s="25"/>
      <c r="C217" s="25"/>
      <c r="D217" s="25"/>
      <c r="E217" s="43"/>
      <c r="F217" s="24">
        <f>SUM(B217:E217)</f>
        <v>0</v>
      </c>
      <c r="G217" s="29"/>
      <c r="H217" s="29"/>
      <c r="I217" s="29"/>
      <c r="J217" s="29"/>
      <c r="K217" s="24">
        <f>SUM(G217:J217)</f>
        <v>0</v>
      </c>
      <c r="L217" s="25">
        <f>+B217-G217</f>
        <v>0</v>
      </c>
      <c r="M217" s="25">
        <f>+C217-H217</f>
        <v>0</v>
      </c>
      <c r="N217" s="25"/>
      <c r="O217" s="25">
        <f>+E217-J217</f>
        <v>0</v>
      </c>
      <c r="P217" s="26">
        <f>SUM(L217:O217)</f>
        <v>0</v>
      </c>
      <c r="Q217" s="18"/>
    </row>
    <row r="218" spans="1:17" ht="12.75" customHeight="1">
      <c r="A218" s="46"/>
      <c r="B218" s="24"/>
      <c r="C218" s="24"/>
      <c r="D218" s="24"/>
      <c r="E218" s="26"/>
      <c r="F218" s="24"/>
      <c r="G218" s="32"/>
      <c r="H218" s="32"/>
      <c r="I218" s="32"/>
      <c r="J218" s="32"/>
      <c r="K218" s="32"/>
      <c r="L218" s="24"/>
      <c r="M218" s="24"/>
      <c r="N218" s="24"/>
      <c r="O218" s="24"/>
      <c r="P218" s="26"/>
      <c r="Q218" s="18"/>
    </row>
    <row r="219" spans="1:17" ht="12.75" customHeight="1">
      <c r="A219" s="42" t="s">
        <v>189</v>
      </c>
      <c r="B219" s="17">
        <f t="shared" ref="B219:K219" si="103">+B220+B224</f>
        <v>48029</v>
      </c>
      <c r="C219" s="17">
        <f t="shared" si="103"/>
        <v>44951</v>
      </c>
      <c r="D219" s="17">
        <f t="shared" si="103"/>
        <v>0</v>
      </c>
      <c r="E219" s="17">
        <f t="shared" si="103"/>
        <v>1000</v>
      </c>
      <c r="F219" s="17">
        <f t="shared" si="103"/>
        <v>93980</v>
      </c>
      <c r="G219" s="17">
        <f t="shared" si="103"/>
        <v>48029</v>
      </c>
      <c r="H219" s="17">
        <f t="shared" si="103"/>
        <v>44950</v>
      </c>
      <c r="I219" s="17">
        <f t="shared" si="103"/>
        <v>0</v>
      </c>
      <c r="J219" s="17">
        <f t="shared" si="103"/>
        <v>1000</v>
      </c>
      <c r="K219" s="17">
        <f t="shared" si="103"/>
        <v>93979</v>
      </c>
      <c r="L219" s="17">
        <f>+L220+L224</f>
        <v>0</v>
      </c>
      <c r="M219" s="17">
        <f>+M220+M224</f>
        <v>1</v>
      </c>
      <c r="N219" s="17"/>
      <c r="O219" s="17">
        <f>+O220+O224</f>
        <v>0</v>
      </c>
      <c r="P219" s="17">
        <f>+P220+P224</f>
        <v>1</v>
      </c>
      <c r="Q219" s="18">
        <f>+K219/F219</f>
        <v>0.99998935943817835</v>
      </c>
    </row>
    <row r="220" spans="1:17" ht="12.75" customHeight="1">
      <c r="A220" s="41" t="s">
        <v>15</v>
      </c>
      <c r="B220" s="62">
        <f t="shared" ref="B220:K220" si="104">+B221+B222+B223</f>
        <v>48029</v>
      </c>
      <c r="C220" s="62">
        <f t="shared" si="104"/>
        <v>44951</v>
      </c>
      <c r="D220" s="62">
        <f t="shared" si="104"/>
        <v>0</v>
      </c>
      <c r="E220" s="62">
        <f t="shared" si="104"/>
        <v>1000</v>
      </c>
      <c r="F220" s="62">
        <f t="shared" si="104"/>
        <v>93980</v>
      </c>
      <c r="G220" s="62">
        <f t="shared" si="104"/>
        <v>48029</v>
      </c>
      <c r="H220" s="62">
        <f t="shared" si="104"/>
        <v>44950</v>
      </c>
      <c r="I220" s="62">
        <f t="shared" si="104"/>
        <v>0</v>
      </c>
      <c r="J220" s="62">
        <f t="shared" si="104"/>
        <v>1000</v>
      </c>
      <c r="K220" s="62">
        <f t="shared" si="104"/>
        <v>93979</v>
      </c>
      <c r="L220" s="62">
        <f>+L221+L222+L223</f>
        <v>0</v>
      </c>
      <c r="M220" s="62">
        <f>+M221+M222+M223</f>
        <v>1</v>
      </c>
      <c r="N220" s="62"/>
      <c r="O220" s="62">
        <f>+O221+O222+O223</f>
        <v>0</v>
      </c>
      <c r="P220" s="17">
        <f>+P221+P222+P223</f>
        <v>1</v>
      </c>
      <c r="Q220" s="18"/>
    </row>
    <row r="221" spans="1:17" ht="12.75" customHeight="1">
      <c r="A221" s="22" t="s">
        <v>16</v>
      </c>
      <c r="B221" s="25">
        <v>42633</v>
      </c>
      <c r="C221" s="25">
        <v>44951</v>
      </c>
      <c r="D221" s="25"/>
      <c r="E221" s="43">
        <v>1000</v>
      </c>
      <c r="F221" s="24">
        <f>SUM(B221:E221)</f>
        <v>88584</v>
      </c>
      <c r="G221" s="29">
        <f>48029-385-788-316-3907</f>
        <v>42633</v>
      </c>
      <c r="H221" s="29">
        <v>44950</v>
      </c>
      <c r="I221" s="29"/>
      <c r="J221" s="29">
        <v>1000</v>
      </c>
      <c r="K221" s="24">
        <f>SUM(G221:J221)</f>
        <v>88583</v>
      </c>
      <c r="L221" s="25">
        <f t="shared" ref="L221:M223" si="105">+B221-G221</f>
        <v>0</v>
      </c>
      <c r="M221" s="25">
        <f t="shared" si="105"/>
        <v>1</v>
      </c>
      <c r="N221" s="25"/>
      <c r="O221" s="25">
        <f>+E221-J221</f>
        <v>0</v>
      </c>
      <c r="P221" s="26">
        <f>SUM(L221:O221)</f>
        <v>1</v>
      </c>
      <c r="Q221" s="18"/>
    </row>
    <row r="222" spans="1:17" ht="12.75" customHeight="1">
      <c r="A222" s="22" t="s">
        <v>17</v>
      </c>
      <c r="B222" s="25">
        <v>1489</v>
      </c>
      <c r="C222" s="25"/>
      <c r="D222" s="25"/>
      <c r="E222" s="43"/>
      <c r="F222" s="24">
        <f>SUM(B222:E222)</f>
        <v>1489</v>
      </c>
      <c r="G222" s="29">
        <f>316+788+385</f>
        <v>1489</v>
      </c>
      <c r="H222" s="29"/>
      <c r="I222" s="29"/>
      <c r="J222" s="34"/>
      <c r="K222" s="24">
        <f>SUM(G222:J222)</f>
        <v>1489</v>
      </c>
      <c r="L222" s="25">
        <f t="shared" si="105"/>
        <v>0</v>
      </c>
      <c r="M222" s="25">
        <f t="shared" si="105"/>
        <v>0</v>
      </c>
      <c r="N222" s="25"/>
      <c r="O222" s="25">
        <f>+E222-J222</f>
        <v>0</v>
      </c>
      <c r="P222" s="26">
        <f>SUM(L222:O222)</f>
        <v>0</v>
      </c>
      <c r="Q222" s="18"/>
    </row>
    <row r="223" spans="1:17" ht="12.75" customHeight="1">
      <c r="A223" s="22" t="s">
        <v>18</v>
      </c>
      <c r="B223" s="25">
        <v>3907</v>
      </c>
      <c r="C223" s="25"/>
      <c r="D223" s="25"/>
      <c r="E223" s="43"/>
      <c r="F223" s="24">
        <f>SUM(B223:E223)</f>
        <v>3907</v>
      </c>
      <c r="G223" s="29">
        <v>3907</v>
      </c>
      <c r="H223" s="34"/>
      <c r="I223" s="34"/>
      <c r="J223" s="34"/>
      <c r="K223" s="24">
        <f>SUM(G223:J223)</f>
        <v>3907</v>
      </c>
      <c r="L223" s="25">
        <f t="shared" si="105"/>
        <v>0</v>
      </c>
      <c r="M223" s="25">
        <f t="shared" si="105"/>
        <v>0</v>
      </c>
      <c r="N223" s="25"/>
      <c r="O223" s="25">
        <f>+E223-J223</f>
        <v>0</v>
      </c>
      <c r="P223" s="26">
        <f>SUM(L223:O223)</f>
        <v>0</v>
      </c>
      <c r="Q223" s="18"/>
    </row>
    <row r="224" spans="1:17" ht="12.75" customHeight="1">
      <c r="A224" s="22" t="s">
        <v>19</v>
      </c>
      <c r="B224" s="44">
        <f t="shared" ref="B224:K224" si="106">+B225+B226</f>
        <v>0</v>
      </c>
      <c r="C224" s="44">
        <f t="shared" si="106"/>
        <v>0</v>
      </c>
      <c r="D224" s="44">
        <f t="shared" si="106"/>
        <v>0</v>
      </c>
      <c r="E224" s="44">
        <f t="shared" si="106"/>
        <v>0</v>
      </c>
      <c r="F224" s="44">
        <f t="shared" si="106"/>
        <v>0</v>
      </c>
      <c r="G224" s="44">
        <f t="shared" si="106"/>
        <v>0</v>
      </c>
      <c r="H224" s="44">
        <f t="shared" si="106"/>
        <v>0</v>
      </c>
      <c r="I224" s="44">
        <f t="shared" si="106"/>
        <v>0</v>
      </c>
      <c r="J224" s="44">
        <f t="shared" si="106"/>
        <v>0</v>
      </c>
      <c r="K224" s="44">
        <f t="shared" si="106"/>
        <v>0</v>
      </c>
      <c r="L224" s="44">
        <f>+L225+L226</f>
        <v>0</v>
      </c>
      <c r="M224" s="44">
        <f>+M225+M226</f>
        <v>0</v>
      </c>
      <c r="N224" s="44"/>
      <c r="O224" s="44">
        <f>+O225+O226</f>
        <v>0</v>
      </c>
      <c r="P224" s="45">
        <f>+P225+P226</f>
        <v>0</v>
      </c>
      <c r="Q224" s="18"/>
    </row>
    <row r="225" spans="1:17" ht="12.75" customHeight="1">
      <c r="A225" s="23" t="s">
        <v>20</v>
      </c>
      <c r="B225" s="25"/>
      <c r="C225" s="25"/>
      <c r="D225" s="25"/>
      <c r="E225" s="43"/>
      <c r="F225" s="24">
        <f>SUM(B225:E225)</f>
        <v>0</v>
      </c>
      <c r="G225" s="29"/>
      <c r="H225" s="29"/>
      <c r="I225" s="29"/>
      <c r="J225" s="29"/>
      <c r="K225" s="24">
        <f>SUM(G225:J225)</f>
        <v>0</v>
      </c>
      <c r="L225" s="25">
        <f>+B225-G225</f>
        <v>0</v>
      </c>
      <c r="M225" s="25">
        <f>+C225-H225</f>
        <v>0</v>
      </c>
      <c r="N225" s="25"/>
      <c r="O225" s="25">
        <f>+E225-J225</f>
        <v>0</v>
      </c>
      <c r="P225" s="26">
        <f>SUM(L225:O225)</f>
        <v>0</v>
      </c>
      <c r="Q225" s="18"/>
    </row>
    <row r="226" spans="1:17" ht="12.75" customHeight="1">
      <c r="A226" s="23" t="s">
        <v>21</v>
      </c>
      <c r="B226" s="25"/>
      <c r="C226" s="25"/>
      <c r="D226" s="25"/>
      <c r="E226" s="43"/>
      <c r="F226" s="24">
        <f>SUM(B226:E226)</f>
        <v>0</v>
      </c>
      <c r="G226" s="29"/>
      <c r="H226" s="29"/>
      <c r="I226" s="29"/>
      <c r="J226" s="29"/>
      <c r="K226" s="24">
        <f>SUM(G226:J226)</f>
        <v>0</v>
      </c>
      <c r="L226" s="25">
        <f>+B226-G226</f>
        <v>0</v>
      </c>
      <c r="M226" s="25">
        <f>+C226-H226</f>
        <v>0</v>
      </c>
      <c r="N226" s="25"/>
      <c r="O226" s="25">
        <f>+E226-J226</f>
        <v>0</v>
      </c>
      <c r="P226" s="26">
        <f>SUM(L226:O226)</f>
        <v>0</v>
      </c>
      <c r="Q226" s="18"/>
    </row>
    <row r="227" spans="1:17" ht="12.75" customHeight="1">
      <c r="A227" s="46"/>
      <c r="B227" s="24"/>
      <c r="C227" s="24"/>
      <c r="D227" s="24"/>
      <c r="E227" s="26"/>
      <c r="F227" s="24"/>
      <c r="G227" s="32"/>
      <c r="H227" s="32"/>
      <c r="I227" s="32"/>
      <c r="J227" s="32"/>
      <c r="K227" s="32"/>
      <c r="L227" s="24"/>
      <c r="M227" s="24"/>
      <c r="N227" s="24"/>
      <c r="O227" s="24"/>
      <c r="P227" s="26"/>
      <c r="Q227" s="18"/>
    </row>
    <row r="228" spans="1:17" ht="12.75" customHeight="1">
      <c r="A228" s="64" t="s">
        <v>190</v>
      </c>
      <c r="B228" s="65">
        <f t="shared" ref="B228:K228" si="107">+B229+B233</f>
        <v>226749</v>
      </c>
      <c r="C228" s="65">
        <f t="shared" si="107"/>
        <v>72797</v>
      </c>
      <c r="D228" s="65">
        <f t="shared" si="107"/>
        <v>0</v>
      </c>
      <c r="E228" s="65">
        <f t="shared" si="107"/>
        <v>0</v>
      </c>
      <c r="F228" s="65">
        <f t="shared" si="107"/>
        <v>299546</v>
      </c>
      <c r="G228" s="65">
        <f t="shared" si="107"/>
        <v>214316</v>
      </c>
      <c r="H228" s="65">
        <f t="shared" si="107"/>
        <v>69724</v>
      </c>
      <c r="I228" s="65">
        <f t="shared" si="107"/>
        <v>0</v>
      </c>
      <c r="J228" s="65">
        <f t="shared" si="107"/>
        <v>0</v>
      </c>
      <c r="K228" s="65">
        <f t="shared" si="107"/>
        <v>284040</v>
      </c>
      <c r="L228" s="65">
        <f>+L229+L233</f>
        <v>12433</v>
      </c>
      <c r="M228" s="65">
        <f>+M229+M233</f>
        <v>3073</v>
      </c>
      <c r="N228" s="65"/>
      <c r="O228" s="65">
        <f>+O229+O233</f>
        <v>0</v>
      </c>
      <c r="P228" s="65">
        <f>+P229+P233</f>
        <v>15506</v>
      </c>
      <c r="Q228" s="18">
        <f>+K228/F228</f>
        <v>0.94823499562671509</v>
      </c>
    </row>
    <row r="229" spans="1:17" ht="12.75" customHeight="1">
      <c r="A229" s="66" t="s">
        <v>15</v>
      </c>
      <c r="B229" s="67">
        <f t="shared" ref="B229:K229" si="108">+B230+B231+B232</f>
        <v>226749</v>
      </c>
      <c r="C229" s="67">
        <f t="shared" si="108"/>
        <v>69101</v>
      </c>
      <c r="D229" s="67">
        <f t="shared" si="108"/>
        <v>0</v>
      </c>
      <c r="E229" s="67">
        <f t="shared" si="108"/>
        <v>0</v>
      </c>
      <c r="F229" s="67">
        <f t="shared" si="108"/>
        <v>295850</v>
      </c>
      <c r="G229" s="67">
        <f t="shared" si="108"/>
        <v>214316</v>
      </c>
      <c r="H229" s="67">
        <f t="shared" si="108"/>
        <v>66028</v>
      </c>
      <c r="I229" s="67">
        <f t="shared" si="108"/>
        <v>0</v>
      </c>
      <c r="J229" s="67">
        <f t="shared" si="108"/>
        <v>0</v>
      </c>
      <c r="K229" s="67">
        <f t="shared" si="108"/>
        <v>280344</v>
      </c>
      <c r="L229" s="67">
        <f>+L230+L231+L232</f>
        <v>12433</v>
      </c>
      <c r="M229" s="67">
        <f>+M230+M231+M232</f>
        <v>3073</v>
      </c>
      <c r="N229" s="67"/>
      <c r="O229" s="67">
        <f>+O230+O231+O232</f>
        <v>0</v>
      </c>
      <c r="P229" s="65">
        <f>+P230+P231+P232</f>
        <v>15506</v>
      </c>
      <c r="Q229" s="18"/>
    </row>
    <row r="230" spans="1:17" ht="12.75" customHeight="1">
      <c r="A230" s="22" t="s">
        <v>16</v>
      </c>
      <c r="B230" s="68">
        <v>174441</v>
      </c>
      <c r="C230" s="68">
        <v>54688</v>
      </c>
      <c r="D230" s="68"/>
      <c r="E230" s="69"/>
      <c r="F230" s="24">
        <f>SUM(B230:E230)</f>
        <v>229129</v>
      </c>
      <c r="G230" s="29">
        <f>198588-11727-2400-8574-1446</f>
        <v>174441</v>
      </c>
      <c r="H230" s="29">
        <v>51616</v>
      </c>
      <c r="I230" s="29"/>
      <c r="J230" s="29"/>
      <c r="K230" s="24">
        <f>SUM(G230:J230)</f>
        <v>226057</v>
      </c>
      <c r="L230" s="68">
        <f t="shared" ref="L230:M232" si="109">+B230-G230</f>
        <v>0</v>
      </c>
      <c r="M230" s="68">
        <f t="shared" si="109"/>
        <v>3072</v>
      </c>
      <c r="N230" s="68"/>
      <c r="O230" s="68">
        <f>+E230-J230</f>
        <v>0</v>
      </c>
      <c r="P230" s="26">
        <f>SUM(L230:O230)</f>
        <v>3072</v>
      </c>
      <c r="Q230" s="18"/>
    </row>
    <row r="231" spans="1:17" ht="12.75" customHeight="1">
      <c r="A231" s="22" t="s">
        <v>17</v>
      </c>
      <c r="B231" s="68">
        <v>34826</v>
      </c>
      <c r="C231" s="68">
        <v>14413</v>
      </c>
      <c r="D231" s="68"/>
      <c r="E231" s="69"/>
      <c r="F231" s="24">
        <f>SUM(B231:E231)</f>
        <v>49239</v>
      </c>
      <c r="G231" s="29">
        <f>20300+2400+1446</f>
        <v>24146</v>
      </c>
      <c r="H231" s="29">
        <v>14412</v>
      </c>
      <c r="I231" s="34"/>
      <c r="J231" s="34"/>
      <c r="K231" s="24">
        <f>SUM(G231:J231)</f>
        <v>38558</v>
      </c>
      <c r="L231" s="68">
        <f t="shared" si="109"/>
        <v>10680</v>
      </c>
      <c r="M231" s="68">
        <f t="shared" si="109"/>
        <v>1</v>
      </c>
      <c r="N231" s="68"/>
      <c r="O231" s="68">
        <f>+E231-J231</f>
        <v>0</v>
      </c>
      <c r="P231" s="26">
        <f>SUM(L231:O231)</f>
        <v>10681</v>
      </c>
      <c r="Q231" s="18"/>
    </row>
    <row r="232" spans="1:17" ht="12.75" customHeight="1">
      <c r="A232" s="22" t="s">
        <v>18</v>
      </c>
      <c r="B232" s="68">
        <v>17482</v>
      </c>
      <c r="C232" s="68"/>
      <c r="D232" s="68"/>
      <c r="E232" s="69"/>
      <c r="F232" s="24">
        <f>SUM(B232:E232)</f>
        <v>17482</v>
      </c>
      <c r="G232" s="24">
        <v>15729</v>
      </c>
      <c r="H232" s="34"/>
      <c r="I232" s="34"/>
      <c r="J232" s="34"/>
      <c r="K232" s="24">
        <f>SUM(G232:J232)</f>
        <v>15729</v>
      </c>
      <c r="L232" s="68">
        <f t="shared" si="109"/>
        <v>1753</v>
      </c>
      <c r="M232" s="68">
        <f t="shared" si="109"/>
        <v>0</v>
      </c>
      <c r="N232" s="68"/>
      <c r="O232" s="68">
        <f>+E232-J232</f>
        <v>0</v>
      </c>
      <c r="P232" s="26">
        <f>SUM(L232:O232)</f>
        <v>1753</v>
      </c>
      <c r="Q232" s="18"/>
    </row>
    <row r="233" spans="1:17" ht="12.75" customHeight="1">
      <c r="A233" s="22" t="s">
        <v>19</v>
      </c>
      <c r="B233" s="70">
        <f t="shared" ref="B233:K233" si="110">+B234+B235</f>
        <v>0</v>
      </c>
      <c r="C233" s="70">
        <f t="shared" si="110"/>
        <v>3696</v>
      </c>
      <c r="D233" s="70">
        <f t="shared" si="110"/>
        <v>0</v>
      </c>
      <c r="E233" s="70">
        <f t="shared" si="110"/>
        <v>0</v>
      </c>
      <c r="F233" s="70">
        <f t="shared" si="110"/>
        <v>3696</v>
      </c>
      <c r="G233" s="70">
        <f t="shared" si="110"/>
        <v>0</v>
      </c>
      <c r="H233" s="70">
        <f t="shared" si="110"/>
        <v>3696</v>
      </c>
      <c r="I233" s="70">
        <f t="shared" si="110"/>
        <v>0</v>
      </c>
      <c r="J233" s="70">
        <f t="shared" si="110"/>
        <v>0</v>
      </c>
      <c r="K233" s="70">
        <f t="shared" si="110"/>
        <v>3696</v>
      </c>
      <c r="L233" s="70">
        <f>+L234+L235</f>
        <v>0</v>
      </c>
      <c r="M233" s="70">
        <f>+M234+M235</f>
        <v>0</v>
      </c>
      <c r="N233" s="70"/>
      <c r="O233" s="70">
        <f>+O234+O235</f>
        <v>0</v>
      </c>
      <c r="P233" s="71">
        <f>+P234+P235</f>
        <v>0</v>
      </c>
      <c r="Q233" s="18"/>
    </row>
    <row r="234" spans="1:17" ht="12.75" customHeight="1">
      <c r="A234" s="23" t="s">
        <v>20</v>
      </c>
      <c r="B234" s="68"/>
      <c r="C234" s="68">
        <f>3348+348</f>
        <v>3696</v>
      </c>
      <c r="D234" s="68"/>
      <c r="E234" s="69"/>
      <c r="F234" s="24">
        <f>SUM(B234:E234)</f>
        <v>3696</v>
      </c>
      <c r="G234" s="29"/>
      <c r="H234" s="29">
        <v>3696</v>
      </c>
      <c r="I234" s="29"/>
      <c r="J234" s="29"/>
      <c r="K234" s="24">
        <f>SUM(G234:J234)</f>
        <v>3696</v>
      </c>
      <c r="L234" s="68">
        <f>+B234-G234</f>
        <v>0</v>
      </c>
      <c r="M234" s="68">
        <f>+C234-H234</f>
        <v>0</v>
      </c>
      <c r="N234" s="68"/>
      <c r="O234" s="68">
        <f>+E234-J234</f>
        <v>0</v>
      </c>
      <c r="P234" s="26">
        <f>SUM(L234:O234)</f>
        <v>0</v>
      </c>
      <c r="Q234" s="18"/>
    </row>
    <row r="235" spans="1:17" ht="12.75" customHeight="1">
      <c r="A235" s="23" t="s">
        <v>21</v>
      </c>
      <c r="B235" s="68"/>
      <c r="C235" s="68"/>
      <c r="D235" s="68"/>
      <c r="E235" s="69"/>
      <c r="F235" s="24">
        <f>SUM(B235:E235)</f>
        <v>0</v>
      </c>
      <c r="G235" s="29"/>
      <c r="H235" s="29"/>
      <c r="I235" s="29"/>
      <c r="J235" s="29"/>
      <c r="K235" s="24">
        <f>SUM(G235:J235)</f>
        <v>0</v>
      </c>
      <c r="L235" s="68">
        <f>+B235-G235</f>
        <v>0</v>
      </c>
      <c r="M235" s="68">
        <f>+C235-H235</f>
        <v>0</v>
      </c>
      <c r="N235" s="68"/>
      <c r="O235" s="68">
        <f>+E235-J235</f>
        <v>0</v>
      </c>
      <c r="P235" s="26">
        <f>SUM(L235:O235)</f>
        <v>0</v>
      </c>
      <c r="Q235" s="18"/>
    </row>
    <row r="236" spans="1:17" ht="12.75" customHeight="1">
      <c r="A236" s="53"/>
      <c r="B236" s="24"/>
      <c r="C236" s="24"/>
      <c r="D236" s="24"/>
      <c r="E236" s="26"/>
      <c r="F236" s="24"/>
      <c r="G236" s="32"/>
      <c r="H236" s="32"/>
      <c r="I236" s="32"/>
      <c r="J236" s="32"/>
      <c r="K236" s="32"/>
      <c r="L236" s="24"/>
      <c r="M236" s="24"/>
      <c r="N236" s="24"/>
      <c r="O236" s="24"/>
      <c r="P236" s="26"/>
      <c r="Q236" s="18"/>
    </row>
    <row r="237" spans="1:17" ht="12.75" customHeight="1">
      <c r="A237" s="222" t="s">
        <v>191</v>
      </c>
      <c r="B237" s="65">
        <f t="shared" ref="B237:K237" si="111">+B238+B242</f>
        <v>90642</v>
      </c>
      <c r="C237" s="65">
        <f t="shared" si="111"/>
        <v>379368</v>
      </c>
      <c r="D237" s="65">
        <f t="shared" si="111"/>
        <v>0</v>
      </c>
      <c r="E237" s="65">
        <f t="shared" si="111"/>
        <v>0</v>
      </c>
      <c r="F237" s="65">
        <f t="shared" si="111"/>
        <v>470010</v>
      </c>
      <c r="G237" s="65">
        <f t="shared" si="111"/>
        <v>90601</v>
      </c>
      <c r="H237" s="65">
        <f t="shared" si="111"/>
        <v>379365</v>
      </c>
      <c r="I237" s="65">
        <f t="shared" si="111"/>
        <v>0</v>
      </c>
      <c r="J237" s="65">
        <f t="shared" si="111"/>
        <v>0</v>
      </c>
      <c r="K237" s="65">
        <f t="shared" si="111"/>
        <v>469966</v>
      </c>
      <c r="L237" s="65">
        <f>+L238+L242</f>
        <v>41</v>
      </c>
      <c r="M237" s="65">
        <f>+M238+M242</f>
        <v>3</v>
      </c>
      <c r="N237" s="65"/>
      <c r="O237" s="65">
        <f>+O238+O242</f>
        <v>0</v>
      </c>
      <c r="P237" s="65">
        <f>+P238+P242</f>
        <v>44</v>
      </c>
      <c r="Q237" s="18">
        <f>+K237/F237</f>
        <v>0.99990638497053252</v>
      </c>
    </row>
    <row r="238" spans="1:17" ht="12.75" customHeight="1">
      <c r="A238" s="66" t="s">
        <v>15</v>
      </c>
      <c r="B238" s="67">
        <f t="shared" ref="B238:K238" si="112">+B239+B240+B241</f>
        <v>90642</v>
      </c>
      <c r="C238" s="67">
        <f t="shared" si="112"/>
        <v>321966</v>
      </c>
      <c r="D238" s="67">
        <f t="shared" si="112"/>
        <v>0</v>
      </c>
      <c r="E238" s="67">
        <f t="shared" si="112"/>
        <v>0</v>
      </c>
      <c r="F238" s="67">
        <f t="shared" si="112"/>
        <v>412608</v>
      </c>
      <c r="G238" s="67">
        <f t="shared" si="112"/>
        <v>90601</v>
      </c>
      <c r="H238" s="67">
        <f t="shared" si="112"/>
        <v>321965</v>
      </c>
      <c r="I238" s="67">
        <f t="shared" si="112"/>
        <v>0</v>
      </c>
      <c r="J238" s="67">
        <f t="shared" si="112"/>
        <v>0</v>
      </c>
      <c r="K238" s="67">
        <f t="shared" si="112"/>
        <v>412566</v>
      </c>
      <c r="L238" s="67">
        <f>+L239+L240+L241</f>
        <v>41</v>
      </c>
      <c r="M238" s="67">
        <f>+M239+M240+M241</f>
        <v>1</v>
      </c>
      <c r="N238" s="67"/>
      <c r="O238" s="67">
        <f>+O239+O240+O241</f>
        <v>0</v>
      </c>
      <c r="P238" s="65">
        <f>+P239+P240+P241</f>
        <v>42</v>
      </c>
      <c r="Q238" s="18"/>
    </row>
    <row r="239" spans="1:17" ht="12.75" customHeight="1">
      <c r="A239" s="22" t="s">
        <v>16</v>
      </c>
      <c r="B239" s="68">
        <v>84932</v>
      </c>
      <c r="C239" s="68">
        <v>266615</v>
      </c>
      <c r="D239" s="68"/>
      <c r="E239" s="69"/>
      <c r="F239" s="24">
        <f>SUM(B239:E239)</f>
        <v>351547</v>
      </c>
      <c r="G239" s="29">
        <v>84931</v>
      </c>
      <c r="H239" s="29">
        <v>266615</v>
      </c>
      <c r="I239" s="29"/>
      <c r="J239" s="29"/>
      <c r="K239" s="24">
        <f>SUM(G239:J239)</f>
        <v>351546</v>
      </c>
      <c r="L239" s="68">
        <f t="shared" ref="L239:M241" si="113">+B239-G239</f>
        <v>1</v>
      </c>
      <c r="M239" s="68">
        <f t="shared" si="113"/>
        <v>0</v>
      </c>
      <c r="N239" s="68"/>
      <c r="O239" s="68">
        <f>+E239-J239</f>
        <v>0</v>
      </c>
      <c r="P239" s="26">
        <f>SUM(L239:O239)</f>
        <v>1</v>
      </c>
      <c r="Q239" s="18"/>
    </row>
    <row r="240" spans="1:17" ht="12.75" customHeight="1">
      <c r="A240" s="22" t="s">
        <v>17</v>
      </c>
      <c r="B240" s="68">
        <v>5710</v>
      </c>
      <c r="C240" s="68">
        <v>54035</v>
      </c>
      <c r="D240" s="68"/>
      <c r="E240" s="69"/>
      <c r="F240" s="24">
        <f>SUM(B240:E240)</f>
        <v>59745</v>
      </c>
      <c r="G240" s="29">
        <f>1303+1923+765+1679</f>
        <v>5670</v>
      </c>
      <c r="H240" s="29">
        <v>54034</v>
      </c>
      <c r="I240" s="29"/>
      <c r="J240" s="34"/>
      <c r="K240" s="24">
        <f>SUM(G240:J240)</f>
        <v>59704</v>
      </c>
      <c r="L240" s="68">
        <f t="shared" si="113"/>
        <v>40</v>
      </c>
      <c r="M240" s="68">
        <f t="shared" si="113"/>
        <v>1</v>
      </c>
      <c r="N240" s="68"/>
      <c r="O240" s="68">
        <f>+E240-J240</f>
        <v>0</v>
      </c>
      <c r="P240" s="26">
        <f>SUM(L240:O240)</f>
        <v>41</v>
      </c>
      <c r="Q240" s="18"/>
    </row>
    <row r="241" spans="1:17" ht="12.75" customHeight="1">
      <c r="A241" s="22" t="s">
        <v>18</v>
      </c>
      <c r="B241" s="68"/>
      <c r="C241" s="68">
        <v>1316</v>
      </c>
      <c r="D241" s="68"/>
      <c r="E241" s="69"/>
      <c r="F241" s="24">
        <f>SUM(B241:E241)</f>
        <v>1316</v>
      </c>
      <c r="G241" s="29"/>
      <c r="H241" s="29">
        <v>1316</v>
      </c>
      <c r="I241" s="29"/>
      <c r="J241" s="34"/>
      <c r="K241" s="24">
        <f>SUM(G241:J241)</f>
        <v>1316</v>
      </c>
      <c r="L241" s="68">
        <f t="shared" si="113"/>
        <v>0</v>
      </c>
      <c r="M241" s="68">
        <f t="shared" si="113"/>
        <v>0</v>
      </c>
      <c r="N241" s="68"/>
      <c r="O241" s="68">
        <f>+E241-J241</f>
        <v>0</v>
      </c>
      <c r="P241" s="26">
        <f>SUM(L241:O241)</f>
        <v>0</v>
      </c>
      <c r="Q241" s="18"/>
    </row>
    <row r="242" spans="1:17" ht="12.75" customHeight="1">
      <c r="A242" s="22" t="s">
        <v>19</v>
      </c>
      <c r="B242" s="70">
        <f t="shared" ref="B242:K242" si="114">+B243+B244</f>
        <v>0</v>
      </c>
      <c r="C242" s="70">
        <f t="shared" si="114"/>
        <v>57402</v>
      </c>
      <c r="D242" s="70">
        <f t="shared" si="114"/>
        <v>0</v>
      </c>
      <c r="E242" s="70">
        <f t="shared" si="114"/>
        <v>0</v>
      </c>
      <c r="F242" s="70">
        <f t="shared" si="114"/>
        <v>57402</v>
      </c>
      <c r="G242" s="70">
        <f t="shared" si="114"/>
        <v>0</v>
      </c>
      <c r="H242" s="70">
        <f t="shared" si="114"/>
        <v>57400</v>
      </c>
      <c r="I242" s="70">
        <f t="shared" si="114"/>
        <v>0</v>
      </c>
      <c r="J242" s="70">
        <f t="shared" si="114"/>
        <v>0</v>
      </c>
      <c r="K242" s="70">
        <f t="shared" si="114"/>
        <v>57400</v>
      </c>
      <c r="L242" s="70">
        <f>+L243+L244</f>
        <v>0</v>
      </c>
      <c r="M242" s="70">
        <f>+M243+M244</f>
        <v>2</v>
      </c>
      <c r="N242" s="70"/>
      <c r="O242" s="70">
        <f>+O243+O244</f>
        <v>0</v>
      </c>
      <c r="P242" s="71">
        <f>+P243+P244</f>
        <v>2</v>
      </c>
      <c r="Q242" s="18"/>
    </row>
    <row r="243" spans="1:17" ht="12.75" customHeight="1">
      <c r="A243" s="23" t="s">
        <v>20</v>
      </c>
      <c r="B243" s="68"/>
      <c r="C243" s="68">
        <v>2</v>
      </c>
      <c r="D243" s="68"/>
      <c r="E243" s="69"/>
      <c r="F243" s="24">
        <f>SUM(B243:E243)</f>
        <v>2</v>
      </c>
      <c r="G243" s="29"/>
      <c r="H243" s="29"/>
      <c r="I243" s="29"/>
      <c r="J243" s="29"/>
      <c r="K243" s="24">
        <f>SUM(G243:J243)</f>
        <v>0</v>
      </c>
      <c r="L243" s="68">
        <f>+B243-G243</f>
        <v>0</v>
      </c>
      <c r="M243" s="68">
        <f>+C243-H243</f>
        <v>2</v>
      </c>
      <c r="N243" s="68"/>
      <c r="O243" s="68">
        <f>+E243-J243</f>
        <v>0</v>
      </c>
      <c r="P243" s="26">
        <f>SUM(L243:O243)</f>
        <v>2</v>
      </c>
      <c r="Q243" s="18"/>
    </row>
    <row r="244" spans="1:17" ht="12.75" customHeight="1">
      <c r="A244" s="23" t="s">
        <v>21</v>
      </c>
      <c r="B244" s="68"/>
      <c r="C244" s="68">
        <v>57400</v>
      </c>
      <c r="D244" s="68"/>
      <c r="E244" s="69"/>
      <c r="F244" s="24">
        <f>SUM(B244:E244)</f>
        <v>57400</v>
      </c>
      <c r="G244" s="29"/>
      <c r="H244" s="29">
        <v>57400</v>
      </c>
      <c r="I244" s="29"/>
      <c r="J244" s="29"/>
      <c r="K244" s="24">
        <f>SUM(G244:J244)</f>
        <v>57400</v>
      </c>
      <c r="L244" s="68">
        <f>+B244-G244</f>
        <v>0</v>
      </c>
      <c r="M244" s="68">
        <f>+C244-H244</f>
        <v>0</v>
      </c>
      <c r="N244" s="68"/>
      <c r="O244" s="68">
        <f>+E244-J244</f>
        <v>0</v>
      </c>
      <c r="P244" s="26">
        <f>SUM(L244:O244)</f>
        <v>0</v>
      </c>
      <c r="Q244" s="18"/>
    </row>
    <row r="245" spans="1:17" ht="12.75" customHeight="1">
      <c r="A245" s="53"/>
      <c r="B245" s="24"/>
      <c r="C245" s="24"/>
      <c r="D245" s="24"/>
      <c r="E245" s="26"/>
      <c r="F245" s="24"/>
      <c r="G245" s="32"/>
      <c r="H245" s="32"/>
      <c r="I245" s="32"/>
      <c r="J245" s="32"/>
      <c r="K245" s="32"/>
      <c r="L245" s="24"/>
      <c r="M245" s="24"/>
      <c r="N245" s="24"/>
      <c r="O245" s="24"/>
      <c r="P245" s="26"/>
      <c r="Q245" s="18"/>
    </row>
    <row r="246" spans="1:17" ht="12.75" customHeight="1">
      <c r="A246" s="42" t="s">
        <v>192</v>
      </c>
      <c r="B246" s="17">
        <f t="shared" ref="B246:K246" si="115">+B247+B251</f>
        <v>28995</v>
      </c>
      <c r="C246" s="17">
        <f t="shared" si="115"/>
        <v>15358</v>
      </c>
      <c r="D246" s="17">
        <f t="shared" si="115"/>
        <v>0</v>
      </c>
      <c r="E246" s="17">
        <f t="shared" si="115"/>
        <v>3451</v>
      </c>
      <c r="F246" s="17">
        <f t="shared" si="115"/>
        <v>47804</v>
      </c>
      <c r="G246" s="17">
        <f t="shared" si="115"/>
        <v>26658</v>
      </c>
      <c r="H246" s="17">
        <f t="shared" si="115"/>
        <v>14163</v>
      </c>
      <c r="I246" s="17">
        <f t="shared" si="115"/>
        <v>0</v>
      </c>
      <c r="J246" s="17">
        <f t="shared" si="115"/>
        <v>2040</v>
      </c>
      <c r="K246" s="17">
        <f t="shared" si="115"/>
        <v>42861</v>
      </c>
      <c r="L246" s="17">
        <f>+L247+L251</f>
        <v>2337</v>
      </c>
      <c r="M246" s="17">
        <f>+M247+M251</f>
        <v>1195</v>
      </c>
      <c r="N246" s="17"/>
      <c r="O246" s="17">
        <f>+O247+O251</f>
        <v>1411</v>
      </c>
      <c r="P246" s="17">
        <f>+P247+P251</f>
        <v>4943</v>
      </c>
      <c r="Q246" s="18">
        <f>+K246/F246</f>
        <v>0.89659861099489579</v>
      </c>
    </row>
    <row r="247" spans="1:17" ht="12.75" customHeight="1">
      <c r="A247" s="41" t="s">
        <v>15</v>
      </c>
      <c r="B247" s="62">
        <f t="shared" ref="B247:K247" si="116">+B248+B249+B250</f>
        <v>28995</v>
      </c>
      <c r="C247" s="62">
        <f t="shared" si="116"/>
        <v>15358</v>
      </c>
      <c r="D247" s="62">
        <f t="shared" si="116"/>
        <v>0</v>
      </c>
      <c r="E247" s="62">
        <f t="shared" si="116"/>
        <v>3451</v>
      </c>
      <c r="F247" s="62">
        <f t="shared" si="116"/>
        <v>47804</v>
      </c>
      <c r="G247" s="62">
        <f t="shared" si="116"/>
        <v>26658</v>
      </c>
      <c r="H247" s="62">
        <f t="shared" si="116"/>
        <v>14163</v>
      </c>
      <c r="I247" s="62">
        <f t="shared" si="116"/>
        <v>0</v>
      </c>
      <c r="J247" s="62">
        <f t="shared" si="116"/>
        <v>2040</v>
      </c>
      <c r="K247" s="62">
        <f t="shared" si="116"/>
        <v>42861</v>
      </c>
      <c r="L247" s="62">
        <f>+L248+L249+L250</f>
        <v>2337</v>
      </c>
      <c r="M247" s="62">
        <f>+M248+M249+M250</f>
        <v>1195</v>
      </c>
      <c r="N247" s="62"/>
      <c r="O247" s="62">
        <f>+O248+O249+O250</f>
        <v>1411</v>
      </c>
      <c r="P247" s="17">
        <f>+P248+P249+P250</f>
        <v>4943</v>
      </c>
      <c r="Q247" s="18"/>
    </row>
    <row r="248" spans="1:17" ht="12.75" customHeight="1">
      <c r="A248" s="22" t="s">
        <v>16</v>
      </c>
      <c r="B248" s="25">
        <v>25482</v>
      </c>
      <c r="C248" s="25">
        <v>15358</v>
      </c>
      <c r="D248" s="25"/>
      <c r="E248" s="43">
        <v>3451</v>
      </c>
      <c r="F248" s="24">
        <f>SUM(B248:E248)</f>
        <v>44291</v>
      </c>
      <c r="G248" s="29">
        <v>23340</v>
      </c>
      <c r="H248" s="29">
        <v>14163</v>
      </c>
      <c r="I248" s="29"/>
      <c r="J248" s="29">
        <v>2040</v>
      </c>
      <c r="K248" s="24">
        <f>SUM(G248:J248)</f>
        <v>39543</v>
      </c>
      <c r="L248" s="25">
        <f t="shared" ref="L248:M250" si="117">+B248-G248</f>
        <v>2142</v>
      </c>
      <c r="M248" s="25">
        <f t="shared" si="117"/>
        <v>1195</v>
      </c>
      <c r="N248" s="25"/>
      <c r="O248" s="25">
        <f>+E248-J248</f>
        <v>1411</v>
      </c>
      <c r="P248" s="26">
        <f>SUM(L248:O248)</f>
        <v>4748</v>
      </c>
      <c r="Q248" s="18"/>
    </row>
    <row r="249" spans="1:17" ht="12.75" customHeight="1">
      <c r="A249" s="22" t="s">
        <v>17</v>
      </c>
      <c r="B249" s="25">
        <v>1270</v>
      </c>
      <c r="C249" s="25"/>
      <c r="D249" s="25"/>
      <c r="E249" s="43"/>
      <c r="F249" s="24">
        <f>SUM(B249:E249)</f>
        <v>1270</v>
      </c>
      <c r="G249" s="29">
        <v>1240</v>
      </c>
      <c r="H249" s="34"/>
      <c r="I249" s="34"/>
      <c r="J249" s="34"/>
      <c r="K249" s="24">
        <f>SUM(G249:J249)</f>
        <v>1240</v>
      </c>
      <c r="L249" s="25">
        <f t="shared" si="117"/>
        <v>30</v>
      </c>
      <c r="M249" s="25">
        <f t="shared" si="117"/>
        <v>0</v>
      </c>
      <c r="N249" s="25"/>
      <c r="O249" s="25">
        <f>+E249-J249</f>
        <v>0</v>
      </c>
      <c r="P249" s="26">
        <f>SUM(L249:O249)</f>
        <v>30</v>
      </c>
      <c r="Q249" s="18"/>
    </row>
    <row r="250" spans="1:17" ht="12.75" customHeight="1">
      <c r="A250" s="22" t="s">
        <v>18</v>
      </c>
      <c r="B250" s="25">
        <v>2243</v>
      </c>
      <c r="C250" s="25"/>
      <c r="D250" s="25"/>
      <c r="E250" s="43"/>
      <c r="F250" s="24">
        <f>SUM(B250:E250)</f>
        <v>2243</v>
      </c>
      <c r="G250" s="29">
        <v>2078</v>
      </c>
      <c r="H250" s="34"/>
      <c r="I250" s="34"/>
      <c r="J250" s="34"/>
      <c r="K250" s="24">
        <f>SUM(G250:J250)</f>
        <v>2078</v>
      </c>
      <c r="L250" s="25">
        <f t="shared" si="117"/>
        <v>165</v>
      </c>
      <c r="M250" s="25">
        <f t="shared" si="117"/>
        <v>0</v>
      </c>
      <c r="N250" s="25"/>
      <c r="O250" s="25">
        <f>+E250-J250</f>
        <v>0</v>
      </c>
      <c r="P250" s="26">
        <f>SUM(L250:O250)</f>
        <v>165</v>
      </c>
      <c r="Q250" s="18"/>
    </row>
    <row r="251" spans="1:17" ht="12.75" customHeight="1">
      <c r="A251" s="22" t="s">
        <v>19</v>
      </c>
      <c r="B251" s="44">
        <f t="shared" ref="B251:K251" si="118">+B252+B253</f>
        <v>0</v>
      </c>
      <c r="C251" s="44">
        <f t="shared" si="118"/>
        <v>0</v>
      </c>
      <c r="D251" s="44">
        <f t="shared" si="118"/>
        <v>0</v>
      </c>
      <c r="E251" s="44">
        <f t="shared" si="118"/>
        <v>0</v>
      </c>
      <c r="F251" s="44">
        <f t="shared" si="118"/>
        <v>0</v>
      </c>
      <c r="G251" s="44">
        <f t="shared" si="118"/>
        <v>0</v>
      </c>
      <c r="H251" s="44">
        <f t="shared" si="118"/>
        <v>0</v>
      </c>
      <c r="I251" s="44">
        <f t="shared" si="118"/>
        <v>0</v>
      </c>
      <c r="J251" s="44">
        <f t="shared" si="118"/>
        <v>0</v>
      </c>
      <c r="K251" s="44">
        <f t="shared" si="118"/>
        <v>0</v>
      </c>
      <c r="L251" s="44">
        <f>+L252+L253</f>
        <v>0</v>
      </c>
      <c r="M251" s="44">
        <f>+M252+M253</f>
        <v>0</v>
      </c>
      <c r="N251" s="44"/>
      <c r="O251" s="44">
        <f>+O252+O253</f>
        <v>0</v>
      </c>
      <c r="P251" s="45">
        <f>+P252+P253</f>
        <v>0</v>
      </c>
      <c r="Q251" s="18"/>
    </row>
    <row r="252" spans="1:17" ht="12.75" customHeight="1">
      <c r="A252" s="23" t="s">
        <v>20</v>
      </c>
      <c r="B252" s="25"/>
      <c r="C252" s="25"/>
      <c r="D252" s="25"/>
      <c r="E252" s="43"/>
      <c r="F252" s="24">
        <f>SUM(B252:E252)</f>
        <v>0</v>
      </c>
      <c r="G252" s="29"/>
      <c r="H252" s="29"/>
      <c r="I252" s="29"/>
      <c r="J252" s="29"/>
      <c r="K252" s="24">
        <f>SUM(G252:J252)</f>
        <v>0</v>
      </c>
      <c r="L252" s="25">
        <f>+B252-G252</f>
        <v>0</v>
      </c>
      <c r="M252" s="25">
        <f>+C252-H252</f>
        <v>0</v>
      </c>
      <c r="N252" s="25"/>
      <c r="O252" s="25">
        <f>+E252-J252</f>
        <v>0</v>
      </c>
      <c r="P252" s="26">
        <f>SUM(L252:O252)</f>
        <v>0</v>
      </c>
      <c r="Q252" s="18"/>
    </row>
    <row r="253" spans="1:17" ht="12.75" customHeight="1">
      <c r="A253" s="23" t="s">
        <v>21</v>
      </c>
      <c r="B253" s="25"/>
      <c r="C253" s="25"/>
      <c r="D253" s="25"/>
      <c r="E253" s="43"/>
      <c r="F253" s="24">
        <f>SUM(B253:E253)</f>
        <v>0</v>
      </c>
      <c r="G253" s="29"/>
      <c r="H253" s="29"/>
      <c r="I253" s="29"/>
      <c r="J253" s="29"/>
      <c r="K253" s="24">
        <f>SUM(G253:J253)</f>
        <v>0</v>
      </c>
      <c r="L253" s="25">
        <f>+B253-G253</f>
        <v>0</v>
      </c>
      <c r="M253" s="25">
        <f>+C253-H253</f>
        <v>0</v>
      </c>
      <c r="N253" s="25"/>
      <c r="O253" s="25">
        <f>+E253-J253</f>
        <v>0</v>
      </c>
      <c r="P253" s="26">
        <f>SUM(L253:O253)</f>
        <v>0</v>
      </c>
      <c r="Q253" s="18"/>
    </row>
    <row r="254" spans="1:17" ht="12.75" customHeight="1">
      <c r="A254" s="65"/>
      <c r="B254" s="77"/>
      <c r="C254" s="77"/>
      <c r="D254" s="77"/>
      <c r="E254" s="75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5"/>
      <c r="Q254" s="76"/>
    </row>
    <row r="255" spans="1:17" ht="12.75" customHeight="1">
      <c r="A255" s="42" t="s">
        <v>193</v>
      </c>
      <c r="B255" s="17">
        <f t="shared" ref="B255:K255" si="119">+B256+B260</f>
        <v>29385</v>
      </c>
      <c r="C255" s="17">
        <f t="shared" si="119"/>
        <v>28486</v>
      </c>
      <c r="D255" s="17">
        <f t="shared" si="119"/>
        <v>0</v>
      </c>
      <c r="E255" s="17">
        <f t="shared" si="119"/>
        <v>384</v>
      </c>
      <c r="F255" s="17">
        <f t="shared" si="119"/>
        <v>58255</v>
      </c>
      <c r="G255" s="17">
        <f t="shared" si="119"/>
        <v>29320</v>
      </c>
      <c r="H255" s="17">
        <f t="shared" si="119"/>
        <v>25326</v>
      </c>
      <c r="I255" s="17">
        <f t="shared" si="119"/>
        <v>0</v>
      </c>
      <c r="J255" s="17">
        <f t="shared" si="119"/>
        <v>246</v>
      </c>
      <c r="K255" s="17">
        <f t="shared" si="119"/>
        <v>54892</v>
      </c>
      <c r="L255" s="17">
        <f>+L256+L260</f>
        <v>65</v>
      </c>
      <c r="M255" s="17">
        <f>+M256+M260</f>
        <v>3160</v>
      </c>
      <c r="N255" s="17"/>
      <c r="O255" s="17">
        <f>+O256+O260</f>
        <v>138</v>
      </c>
      <c r="P255" s="17">
        <f>+P256+P260</f>
        <v>3363</v>
      </c>
      <c r="Q255" s="18">
        <f>+K255/F255</f>
        <v>0.94227104969530517</v>
      </c>
    </row>
    <row r="256" spans="1:17" ht="12.75" customHeight="1">
      <c r="A256" s="41" t="s">
        <v>15</v>
      </c>
      <c r="B256" s="62">
        <f t="shared" ref="B256:K256" si="120">+B257+B258+B259</f>
        <v>29385</v>
      </c>
      <c r="C256" s="62">
        <f t="shared" si="120"/>
        <v>27689</v>
      </c>
      <c r="D256" s="62">
        <f t="shared" si="120"/>
        <v>0</v>
      </c>
      <c r="E256" s="62">
        <f t="shared" si="120"/>
        <v>384</v>
      </c>
      <c r="F256" s="62">
        <f t="shared" si="120"/>
        <v>57458</v>
      </c>
      <c r="G256" s="62">
        <f t="shared" si="120"/>
        <v>29320</v>
      </c>
      <c r="H256" s="62">
        <f t="shared" si="120"/>
        <v>25326</v>
      </c>
      <c r="I256" s="62">
        <f t="shared" si="120"/>
        <v>0</v>
      </c>
      <c r="J256" s="62">
        <f t="shared" si="120"/>
        <v>246</v>
      </c>
      <c r="K256" s="62">
        <f t="shared" si="120"/>
        <v>54892</v>
      </c>
      <c r="L256" s="62">
        <f>+L257+L258+L259</f>
        <v>65</v>
      </c>
      <c r="M256" s="62">
        <f>+M257+M258+M259</f>
        <v>2363</v>
      </c>
      <c r="N256" s="62"/>
      <c r="O256" s="62">
        <f>+O257+O258+O259</f>
        <v>138</v>
      </c>
      <c r="P256" s="17">
        <f>+P257+P258+P259</f>
        <v>2566</v>
      </c>
      <c r="Q256" s="18"/>
    </row>
    <row r="257" spans="1:17" ht="12.75" customHeight="1">
      <c r="A257" s="22" t="s">
        <v>16</v>
      </c>
      <c r="B257" s="25">
        <v>25918</v>
      </c>
      <c r="C257" s="25">
        <v>23962</v>
      </c>
      <c r="D257" s="25"/>
      <c r="E257" s="43">
        <v>384</v>
      </c>
      <c r="F257" s="24">
        <f>SUM(B257:E257)</f>
        <v>50264</v>
      </c>
      <c r="G257" s="29">
        <f>26078-160</f>
        <v>25918</v>
      </c>
      <c r="H257" s="29">
        <v>23362</v>
      </c>
      <c r="I257" s="29"/>
      <c r="J257" s="29">
        <v>246</v>
      </c>
      <c r="K257" s="24">
        <f>SUM(G257:J257)</f>
        <v>49526</v>
      </c>
      <c r="L257" s="25">
        <f t="shared" ref="L257:M259" si="121">+B257-G257</f>
        <v>0</v>
      </c>
      <c r="M257" s="25">
        <f t="shared" si="121"/>
        <v>600</v>
      </c>
      <c r="N257" s="25"/>
      <c r="O257" s="25">
        <f>+E257-J257</f>
        <v>138</v>
      </c>
      <c r="P257" s="26">
        <f>SUM(L257:O257)</f>
        <v>738</v>
      </c>
      <c r="Q257" s="18"/>
    </row>
    <row r="258" spans="1:17" ht="12.75" customHeight="1">
      <c r="A258" s="22" t="s">
        <v>17</v>
      </c>
      <c r="B258" s="25">
        <v>1167</v>
      </c>
      <c r="C258" s="25">
        <v>1964</v>
      </c>
      <c r="D258" s="25"/>
      <c r="E258" s="43"/>
      <c r="F258" s="24">
        <f>SUM(B258:E258)</f>
        <v>3131</v>
      </c>
      <c r="G258" s="29">
        <f>3132-1964-1</f>
        <v>1167</v>
      </c>
      <c r="H258" s="29">
        <v>1964</v>
      </c>
      <c r="I258" s="34"/>
      <c r="J258" s="34"/>
      <c r="K258" s="24">
        <f>SUM(G258:J258)</f>
        <v>3131</v>
      </c>
      <c r="L258" s="25">
        <f t="shared" si="121"/>
        <v>0</v>
      </c>
      <c r="M258" s="25">
        <f t="shared" si="121"/>
        <v>0</v>
      </c>
      <c r="N258" s="25"/>
      <c r="O258" s="25">
        <f>+E258-J258</f>
        <v>0</v>
      </c>
      <c r="P258" s="26">
        <f>SUM(L258:O258)</f>
        <v>0</v>
      </c>
      <c r="Q258" s="18"/>
    </row>
    <row r="259" spans="1:17" ht="12.75" customHeight="1">
      <c r="A259" s="22" t="s">
        <v>18</v>
      </c>
      <c r="B259" s="25">
        <v>2300</v>
      </c>
      <c r="C259" s="25">
        <v>1763</v>
      </c>
      <c r="D259" s="25"/>
      <c r="E259" s="43"/>
      <c r="F259" s="24">
        <f>SUM(B259:E259)</f>
        <v>4063</v>
      </c>
      <c r="G259" s="29">
        <f>2074+161</f>
        <v>2235</v>
      </c>
      <c r="H259" s="29"/>
      <c r="I259" s="29"/>
      <c r="J259" s="34"/>
      <c r="K259" s="24">
        <f>SUM(G259:J259)</f>
        <v>2235</v>
      </c>
      <c r="L259" s="25">
        <f t="shared" si="121"/>
        <v>65</v>
      </c>
      <c r="M259" s="25">
        <f t="shared" si="121"/>
        <v>1763</v>
      </c>
      <c r="N259" s="25"/>
      <c r="O259" s="25">
        <f>+E259-J259</f>
        <v>0</v>
      </c>
      <c r="P259" s="26">
        <f>SUM(L259:O259)</f>
        <v>1828</v>
      </c>
      <c r="Q259" s="18"/>
    </row>
    <row r="260" spans="1:17" ht="12.75" customHeight="1">
      <c r="A260" s="22" t="s">
        <v>19</v>
      </c>
      <c r="B260" s="44">
        <f t="shared" ref="B260:K260" si="122">+B261+B262</f>
        <v>0</v>
      </c>
      <c r="C260" s="44">
        <f t="shared" si="122"/>
        <v>797</v>
      </c>
      <c r="D260" s="44">
        <f t="shared" si="122"/>
        <v>0</v>
      </c>
      <c r="E260" s="44">
        <f t="shared" si="122"/>
        <v>0</v>
      </c>
      <c r="F260" s="44">
        <f t="shared" si="122"/>
        <v>797</v>
      </c>
      <c r="G260" s="44">
        <f t="shared" si="122"/>
        <v>0</v>
      </c>
      <c r="H260" s="44">
        <f t="shared" si="122"/>
        <v>0</v>
      </c>
      <c r="I260" s="44">
        <f t="shared" si="122"/>
        <v>0</v>
      </c>
      <c r="J260" s="44">
        <f t="shared" si="122"/>
        <v>0</v>
      </c>
      <c r="K260" s="44">
        <f t="shared" si="122"/>
        <v>0</v>
      </c>
      <c r="L260" s="44">
        <f>+L261+L262</f>
        <v>0</v>
      </c>
      <c r="M260" s="44">
        <f>+M261+M262</f>
        <v>797</v>
      </c>
      <c r="N260" s="44"/>
      <c r="O260" s="44">
        <f>+O261+O262</f>
        <v>0</v>
      </c>
      <c r="P260" s="45">
        <f>+P261+P262</f>
        <v>797</v>
      </c>
      <c r="Q260" s="18"/>
    </row>
    <row r="261" spans="1:17" ht="12.75" customHeight="1">
      <c r="A261" s="23" t="s">
        <v>20</v>
      </c>
      <c r="B261" s="25"/>
      <c r="C261" s="25">
        <v>797</v>
      </c>
      <c r="D261" s="25"/>
      <c r="E261" s="43"/>
      <c r="F261" s="24">
        <f>SUM(B261:E261)</f>
        <v>797</v>
      </c>
      <c r="G261" s="29"/>
      <c r="H261" s="29"/>
      <c r="I261" s="29"/>
      <c r="J261" s="29"/>
      <c r="K261" s="24">
        <f>SUM(G261:J261)</f>
        <v>0</v>
      </c>
      <c r="L261" s="25">
        <f>+B261-G261</f>
        <v>0</v>
      </c>
      <c r="M261" s="25">
        <f>+C261-H261</f>
        <v>797</v>
      </c>
      <c r="N261" s="25"/>
      <c r="O261" s="25">
        <f>+E261-J261</f>
        <v>0</v>
      </c>
      <c r="P261" s="26">
        <f>SUM(L261:O261)</f>
        <v>797</v>
      </c>
      <c r="Q261" s="18"/>
    </row>
    <row r="262" spans="1:17" ht="12.75" customHeight="1">
      <c r="A262" s="23" t="s">
        <v>21</v>
      </c>
      <c r="B262" s="25"/>
      <c r="C262" s="25"/>
      <c r="D262" s="25"/>
      <c r="E262" s="43"/>
      <c r="F262" s="24">
        <f>SUM(B262:E262)</f>
        <v>0</v>
      </c>
      <c r="G262" s="29"/>
      <c r="H262" s="29"/>
      <c r="I262" s="29"/>
      <c r="J262" s="29"/>
      <c r="K262" s="24">
        <f>SUM(G262:J262)</f>
        <v>0</v>
      </c>
      <c r="L262" s="25">
        <f>+B262-G262</f>
        <v>0</v>
      </c>
      <c r="M262" s="25">
        <f>+C262-H262</f>
        <v>0</v>
      </c>
      <c r="N262" s="25"/>
      <c r="O262" s="25">
        <f>+E262-J262</f>
        <v>0</v>
      </c>
      <c r="P262" s="26">
        <f>SUM(L262:O262)</f>
        <v>0</v>
      </c>
      <c r="Q262" s="18"/>
    </row>
    <row r="263" spans="1:17" ht="12.75" customHeight="1">
      <c r="A263" s="22"/>
      <c r="B263" s="24"/>
      <c r="C263" s="24"/>
      <c r="D263" s="24"/>
      <c r="E263" s="26"/>
      <c r="F263" s="24"/>
      <c r="G263" s="32"/>
      <c r="H263" s="32"/>
      <c r="I263" s="32"/>
      <c r="J263" s="32"/>
      <c r="K263" s="32"/>
      <c r="L263" s="24"/>
      <c r="M263" s="24"/>
      <c r="N263" s="24"/>
      <c r="O263" s="24"/>
      <c r="P263" s="26"/>
      <c r="Q263" s="18"/>
    </row>
    <row r="264" spans="1:17" ht="12.75" customHeight="1">
      <c r="A264" s="64" t="s">
        <v>194</v>
      </c>
      <c r="B264" s="65">
        <f t="shared" ref="B264:F264" si="123">+B265+B269</f>
        <v>11990</v>
      </c>
      <c r="C264" s="65">
        <f t="shared" si="123"/>
        <v>183196</v>
      </c>
      <c r="D264" s="65">
        <f t="shared" si="123"/>
        <v>0</v>
      </c>
      <c r="E264" s="65">
        <f t="shared" si="123"/>
        <v>365506</v>
      </c>
      <c r="F264" s="65">
        <f t="shared" si="123"/>
        <v>560692</v>
      </c>
      <c r="G264" s="17">
        <f>+G265+G269</f>
        <v>11066</v>
      </c>
      <c r="H264" s="17">
        <f>+H265+H269</f>
        <v>84117</v>
      </c>
      <c r="I264" s="17"/>
      <c r="J264" s="17">
        <f>+J265+J269</f>
        <v>26253</v>
      </c>
      <c r="K264" s="17">
        <f t="shared" ref="K264" si="124">+K265+K269</f>
        <v>121436</v>
      </c>
      <c r="L264" s="65">
        <f>+L265+L269</f>
        <v>924</v>
      </c>
      <c r="M264" s="65">
        <f>+M265+M269</f>
        <v>99079</v>
      </c>
      <c r="N264" s="65"/>
      <c r="O264" s="65">
        <f>+O265+O269</f>
        <v>339253</v>
      </c>
      <c r="P264" s="65">
        <f>+P265+P269</f>
        <v>439256</v>
      </c>
      <c r="Q264" s="18">
        <f>+K264/F264</f>
        <v>0.21658236607620582</v>
      </c>
    </row>
    <row r="265" spans="1:17" ht="12.75" customHeight="1">
      <c r="A265" s="66" t="s">
        <v>15</v>
      </c>
      <c r="B265" s="67">
        <f t="shared" ref="B265:J265" si="125">+B266+B267+B268</f>
        <v>11990</v>
      </c>
      <c r="C265" s="67">
        <f t="shared" si="125"/>
        <v>157311</v>
      </c>
      <c r="D265" s="67">
        <f t="shared" si="125"/>
        <v>0</v>
      </c>
      <c r="E265" s="67">
        <f t="shared" si="125"/>
        <v>300467</v>
      </c>
      <c r="F265" s="67">
        <f t="shared" si="125"/>
        <v>469768</v>
      </c>
      <c r="G265" s="20">
        <f t="shared" si="125"/>
        <v>11066</v>
      </c>
      <c r="H265" s="20">
        <f t="shared" si="125"/>
        <v>84117</v>
      </c>
      <c r="I265" s="20"/>
      <c r="J265" s="20">
        <f t="shared" si="125"/>
        <v>26253</v>
      </c>
      <c r="K265" s="20">
        <f>+K266+K267+K268</f>
        <v>121436</v>
      </c>
      <c r="L265" s="67">
        <f>+L266+L267+L268</f>
        <v>924</v>
      </c>
      <c r="M265" s="67">
        <f>+M266+M267+M268</f>
        <v>73194</v>
      </c>
      <c r="N265" s="67"/>
      <c r="O265" s="67">
        <f>+O266+O267+O268</f>
        <v>274214</v>
      </c>
      <c r="P265" s="65">
        <f>+P266+P267+P268</f>
        <v>348332</v>
      </c>
      <c r="Q265" s="18"/>
    </row>
    <row r="266" spans="1:17" ht="12.75" customHeight="1">
      <c r="A266" s="22" t="s">
        <v>16</v>
      </c>
      <c r="B266" s="68">
        <v>10500</v>
      </c>
      <c r="C266" s="68">
        <v>157311</v>
      </c>
      <c r="D266" s="68"/>
      <c r="E266" s="69">
        <v>300467</v>
      </c>
      <c r="F266" s="24">
        <f>SUM(B266:E266)</f>
        <v>468278</v>
      </c>
      <c r="G266" s="29">
        <f>7111+2189+557+710-565-198-49-62</f>
        <v>9693</v>
      </c>
      <c r="H266" s="29">
        <f>59399+16239+649+6791+1039</f>
        <v>84117</v>
      </c>
      <c r="I266" s="29"/>
      <c r="J266" s="29">
        <f>812+8723+5584+11134</f>
        <v>26253</v>
      </c>
      <c r="K266" s="24">
        <f>SUM(G266:J266)</f>
        <v>120063</v>
      </c>
      <c r="L266" s="68">
        <f t="shared" ref="L266:M268" si="126">+B266-G266</f>
        <v>807</v>
      </c>
      <c r="M266" s="68">
        <f t="shared" si="126"/>
        <v>73194</v>
      </c>
      <c r="N266" s="68"/>
      <c r="O266" s="68">
        <f>+E266-J266</f>
        <v>274214</v>
      </c>
      <c r="P266" s="26">
        <f>SUM(L266:O266)</f>
        <v>348215</v>
      </c>
      <c r="Q266" s="18"/>
    </row>
    <row r="267" spans="1:17" ht="12.75" customHeight="1">
      <c r="A267" s="22" t="s">
        <v>17</v>
      </c>
      <c r="B267" s="68">
        <v>499</v>
      </c>
      <c r="C267" s="68"/>
      <c r="D267" s="68"/>
      <c r="E267" s="69"/>
      <c r="F267" s="24">
        <f>SUM(B267:E267)</f>
        <v>499</v>
      </c>
      <c r="G267" s="29">
        <v>499</v>
      </c>
      <c r="H267" s="34"/>
      <c r="I267" s="34"/>
      <c r="J267" s="34"/>
      <c r="K267" s="24">
        <f>SUM(G267:J267)</f>
        <v>499</v>
      </c>
      <c r="L267" s="68">
        <f t="shared" si="126"/>
        <v>0</v>
      </c>
      <c r="M267" s="68">
        <f t="shared" si="126"/>
        <v>0</v>
      </c>
      <c r="N267" s="68"/>
      <c r="O267" s="68">
        <f>+E267-J267</f>
        <v>0</v>
      </c>
      <c r="P267" s="26">
        <f>SUM(L267:O267)</f>
        <v>0</v>
      </c>
      <c r="Q267" s="18"/>
    </row>
    <row r="268" spans="1:17" ht="12.75" customHeight="1">
      <c r="A268" s="22" t="s">
        <v>18</v>
      </c>
      <c r="B268" s="68">
        <v>991</v>
      </c>
      <c r="C268" s="68"/>
      <c r="D268" s="68"/>
      <c r="E268" s="69"/>
      <c r="F268" s="24">
        <f>SUM(B268:E268)</f>
        <v>991</v>
      </c>
      <c r="G268" s="29">
        <f>565+198+49+62</f>
        <v>874</v>
      </c>
      <c r="H268" s="29"/>
      <c r="I268" s="29"/>
      <c r="J268" s="34"/>
      <c r="K268" s="24">
        <f>SUM(G268:J268)</f>
        <v>874</v>
      </c>
      <c r="L268" s="68">
        <f t="shared" si="126"/>
        <v>117</v>
      </c>
      <c r="M268" s="68">
        <f t="shared" si="126"/>
        <v>0</v>
      </c>
      <c r="N268" s="68"/>
      <c r="O268" s="68">
        <f>+E268-J268</f>
        <v>0</v>
      </c>
      <c r="P268" s="26">
        <f>SUM(L268:O268)</f>
        <v>117</v>
      </c>
      <c r="Q268" s="18"/>
    </row>
    <row r="269" spans="1:17" ht="12.75" customHeight="1">
      <c r="A269" s="22" t="s">
        <v>19</v>
      </c>
      <c r="B269" s="70">
        <f t="shared" ref="B269:F269" si="127">+B270+B271</f>
        <v>0</v>
      </c>
      <c r="C269" s="70">
        <f t="shared" si="127"/>
        <v>25885</v>
      </c>
      <c r="D269" s="70">
        <f t="shared" si="127"/>
        <v>0</v>
      </c>
      <c r="E269" s="70">
        <f t="shared" si="127"/>
        <v>65039</v>
      </c>
      <c r="F269" s="70">
        <f t="shared" si="127"/>
        <v>90924</v>
      </c>
      <c r="G269" s="27">
        <f>+G270+G271</f>
        <v>0</v>
      </c>
      <c r="H269" s="27">
        <f>+H270+H271</f>
        <v>0</v>
      </c>
      <c r="I269" s="27"/>
      <c r="J269" s="27">
        <f>+J270+J271</f>
        <v>0</v>
      </c>
      <c r="K269" s="27">
        <f t="shared" ref="K269" si="128">+K270+K271</f>
        <v>0</v>
      </c>
      <c r="L269" s="70">
        <f>+L270+L271</f>
        <v>0</v>
      </c>
      <c r="M269" s="70">
        <f>+M270+M271</f>
        <v>25885</v>
      </c>
      <c r="N269" s="70"/>
      <c r="O269" s="70">
        <f>+O270+O271</f>
        <v>65039</v>
      </c>
      <c r="P269" s="71">
        <f>+P270+P271</f>
        <v>90924</v>
      </c>
      <c r="Q269" s="18"/>
    </row>
    <row r="270" spans="1:17" ht="12.75" customHeight="1">
      <c r="A270" s="23" t="s">
        <v>20</v>
      </c>
      <c r="B270" s="68"/>
      <c r="C270" s="68">
        <v>25885</v>
      </c>
      <c r="D270" s="68"/>
      <c r="E270" s="69">
        <v>65039</v>
      </c>
      <c r="F270" s="24">
        <f>SUM(B270:E270)</f>
        <v>90924</v>
      </c>
      <c r="G270" s="29"/>
      <c r="H270" s="24"/>
      <c r="I270" s="24"/>
      <c r="J270" s="29"/>
      <c r="K270" s="24">
        <f>SUM(G270:J270)</f>
        <v>0</v>
      </c>
      <c r="L270" s="68">
        <f>+B270-G270</f>
        <v>0</v>
      </c>
      <c r="M270" s="68">
        <f>+C270-H270</f>
        <v>25885</v>
      </c>
      <c r="N270" s="68"/>
      <c r="O270" s="68">
        <f>+E270-J270</f>
        <v>65039</v>
      </c>
      <c r="P270" s="26">
        <f>SUM(L270:O270)</f>
        <v>90924</v>
      </c>
      <c r="Q270" s="18"/>
    </row>
    <row r="271" spans="1:17" ht="12.75" customHeight="1">
      <c r="A271" s="23" t="s">
        <v>21</v>
      </c>
      <c r="B271" s="68"/>
      <c r="C271" s="68"/>
      <c r="D271" s="68"/>
      <c r="E271" s="69"/>
      <c r="F271" s="24">
        <f>SUM(B271:E271)</f>
        <v>0</v>
      </c>
      <c r="G271" s="29"/>
      <c r="H271" s="29"/>
      <c r="I271" s="29"/>
      <c r="J271" s="29"/>
      <c r="K271" s="24">
        <f>SUM(G271:J271)</f>
        <v>0</v>
      </c>
      <c r="L271" s="68">
        <f>+B271-G271</f>
        <v>0</v>
      </c>
      <c r="M271" s="68">
        <f>+C271-H271</f>
        <v>0</v>
      </c>
      <c r="N271" s="68"/>
      <c r="O271" s="68">
        <f>+E271-J271</f>
        <v>0</v>
      </c>
      <c r="P271" s="26">
        <f>SUM(L271:O271)</f>
        <v>0</v>
      </c>
      <c r="Q271" s="18"/>
    </row>
    <row r="272" spans="1:17" ht="12.75" customHeight="1">
      <c r="A272" s="23"/>
      <c r="B272" s="24"/>
      <c r="C272" s="24"/>
      <c r="D272" s="24"/>
      <c r="E272" s="26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6"/>
      <c r="Q272" s="18"/>
    </row>
    <row r="273" spans="1:17" ht="12.75" customHeight="1">
      <c r="A273" s="42" t="s">
        <v>195</v>
      </c>
      <c r="B273" s="17">
        <f t="shared" ref="B273:K273" si="129">+B274+B278</f>
        <v>660038</v>
      </c>
      <c r="C273" s="17">
        <f t="shared" si="129"/>
        <v>305711</v>
      </c>
      <c r="D273" s="17">
        <f t="shared" si="129"/>
        <v>0</v>
      </c>
      <c r="E273" s="17">
        <f t="shared" si="129"/>
        <v>17755</v>
      </c>
      <c r="F273" s="17">
        <f t="shared" si="129"/>
        <v>983504</v>
      </c>
      <c r="G273" s="17">
        <f t="shared" si="129"/>
        <v>660038</v>
      </c>
      <c r="H273" s="17">
        <f t="shared" si="129"/>
        <v>305144</v>
      </c>
      <c r="I273" s="17">
        <f t="shared" si="129"/>
        <v>0</v>
      </c>
      <c r="J273" s="17">
        <f t="shared" si="129"/>
        <v>17755</v>
      </c>
      <c r="K273" s="17">
        <f t="shared" si="129"/>
        <v>982937</v>
      </c>
      <c r="L273" s="17">
        <f>+L274+L278</f>
        <v>0</v>
      </c>
      <c r="M273" s="17">
        <f>+M274+M278</f>
        <v>567</v>
      </c>
      <c r="N273" s="17"/>
      <c r="O273" s="17">
        <f>+O274+O278</f>
        <v>0</v>
      </c>
      <c r="P273" s="17">
        <f>+P274+P278</f>
        <v>567</v>
      </c>
      <c r="Q273" s="18">
        <f>+K273/F273</f>
        <v>0.99942348988921248</v>
      </c>
    </row>
    <row r="274" spans="1:17" ht="12.75" customHeight="1">
      <c r="A274" s="41" t="s">
        <v>15</v>
      </c>
      <c r="B274" s="62">
        <f t="shared" ref="B274:K274" si="130">+B275+B276+B277</f>
        <v>660038</v>
      </c>
      <c r="C274" s="62">
        <f t="shared" si="130"/>
        <v>305145</v>
      </c>
      <c r="D274" s="62">
        <f t="shared" si="130"/>
        <v>0</v>
      </c>
      <c r="E274" s="62">
        <f t="shared" si="130"/>
        <v>17755</v>
      </c>
      <c r="F274" s="62">
        <f t="shared" si="130"/>
        <v>982938</v>
      </c>
      <c r="G274" s="62">
        <f t="shared" si="130"/>
        <v>660038</v>
      </c>
      <c r="H274" s="62">
        <f t="shared" si="130"/>
        <v>305144</v>
      </c>
      <c r="I274" s="62">
        <f t="shared" si="130"/>
        <v>0</v>
      </c>
      <c r="J274" s="62">
        <f t="shared" si="130"/>
        <v>17755</v>
      </c>
      <c r="K274" s="62">
        <f t="shared" si="130"/>
        <v>982937</v>
      </c>
      <c r="L274" s="62">
        <f>+L275+L276+L277</f>
        <v>0</v>
      </c>
      <c r="M274" s="62">
        <f>+M275+M276+M277</f>
        <v>1</v>
      </c>
      <c r="N274" s="62"/>
      <c r="O274" s="62">
        <f>+O275+O276+O277</f>
        <v>0</v>
      </c>
      <c r="P274" s="17">
        <f>+P275+P276+P277</f>
        <v>1</v>
      </c>
      <c r="Q274" s="18"/>
    </row>
    <row r="275" spans="1:17" ht="12.75" customHeight="1">
      <c r="A275" s="22" t="s">
        <v>16</v>
      </c>
      <c r="B275" s="25">
        <v>546196</v>
      </c>
      <c r="C275" s="25">
        <v>305145</v>
      </c>
      <c r="D275" s="25"/>
      <c r="E275" s="43">
        <v>17755</v>
      </c>
      <c r="F275" s="24">
        <f>SUM(B275:E275)</f>
        <v>869096</v>
      </c>
      <c r="G275" s="29">
        <f>546031+165</f>
        <v>546196</v>
      </c>
      <c r="H275" s="29">
        <f>304701+443</f>
        <v>305144</v>
      </c>
      <c r="I275" s="29"/>
      <c r="J275" s="29">
        <v>17755</v>
      </c>
      <c r="K275" s="24">
        <f>SUM(G275:J275)</f>
        <v>869095</v>
      </c>
      <c r="L275" s="25">
        <f t="shared" ref="L275:M277" si="131">+B275-G275</f>
        <v>0</v>
      </c>
      <c r="M275" s="25">
        <f t="shared" si="131"/>
        <v>1</v>
      </c>
      <c r="N275" s="25"/>
      <c r="O275" s="25">
        <f>+E275-J275</f>
        <v>0</v>
      </c>
      <c r="P275" s="26">
        <f>SUM(L275:O275)</f>
        <v>1</v>
      </c>
      <c r="Q275" s="18"/>
    </row>
    <row r="276" spans="1:17" ht="12.75" customHeight="1">
      <c r="A276" s="22" t="s">
        <v>17</v>
      </c>
      <c r="B276" s="25">
        <v>59829</v>
      </c>
      <c r="C276" s="25"/>
      <c r="D276" s="25"/>
      <c r="E276" s="43"/>
      <c r="F276" s="24">
        <f>SUM(B276:E276)</f>
        <v>59829</v>
      </c>
      <c r="G276" s="29">
        <f>60437-608</f>
        <v>59829</v>
      </c>
      <c r="H276" s="29"/>
      <c r="I276" s="29"/>
      <c r="J276" s="34"/>
      <c r="K276" s="24">
        <f>SUM(G276:J276)</f>
        <v>59829</v>
      </c>
      <c r="L276" s="25">
        <f t="shared" si="131"/>
        <v>0</v>
      </c>
      <c r="M276" s="25">
        <f t="shared" si="131"/>
        <v>0</v>
      </c>
      <c r="N276" s="25"/>
      <c r="O276" s="25">
        <f>+E276-J276</f>
        <v>0</v>
      </c>
      <c r="P276" s="26">
        <f>SUM(L276:O276)</f>
        <v>0</v>
      </c>
      <c r="Q276" s="18"/>
    </row>
    <row r="277" spans="1:17" ht="12.75" customHeight="1">
      <c r="A277" s="22" t="s">
        <v>18</v>
      </c>
      <c r="B277" s="25">
        <v>54013</v>
      </c>
      <c r="C277" s="25"/>
      <c r="D277" s="25"/>
      <c r="E277" s="43"/>
      <c r="F277" s="24">
        <f>SUM(B277:E277)</f>
        <v>54013</v>
      </c>
      <c r="G277" s="29">
        <v>54013</v>
      </c>
      <c r="H277" s="34"/>
      <c r="I277" s="34"/>
      <c r="J277" s="34"/>
      <c r="K277" s="24">
        <f>SUM(G277:J277)</f>
        <v>54013</v>
      </c>
      <c r="L277" s="25">
        <f t="shared" si="131"/>
        <v>0</v>
      </c>
      <c r="M277" s="25">
        <f t="shared" si="131"/>
        <v>0</v>
      </c>
      <c r="N277" s="25"/>
      <c r="O277" s="25">
        <f>+E277-J277</f>
        <v>0</v>
      </c>
      <c r="P277" s="26">
        <f>SUM(L277:O277)</f>
        <v>0</v>
      </c>
      <c r="Q277" s="18"/>
    </row>
    <row r="278" spans="1:17" ht="12.75" customHeight="1">
      <c r="A278" s="22" t="s">
        <v>19</v>
      </c>
      <c r="B278" s="44">
        <f t="shared" ref="B278:K278" si="132">+B279+B280</f>
        <v>0</v>
      </c>
      <c r="C278" s="44">
        <f t="shared" si="132"/>
        <v>566</v>
      </c>
      <c r="D278" s="44">
        <f t="shared" si="132"/>
        <v>0</v>
      </c>
      <c r="E278" s="44">
        <f t="shared" si="132"/>
        <v>0</v>
      </c>
      <c r="F278" s="44">
        <f t="shared" si="132"/>
        <v>566</v>
      </c>
      <c r="G278" s="44">
        <f t="shared" si="132"/>
        <v>0</v>
      </c>
      <c r="H278" s="44">
        <f t="shared" si="132"/>
        <v>0</v>
      </c>
      <c r="I278" s="44">
        <f t="shared" si="132"/>
        <v>0</v>
      </c>
      <c r="J278" s="44">
        <f t="shared" si="132"/>
        <v>0</v>
      </c>
      <c r="K278" s="44">
        <f t="shared" si="132"/>
        <v>0</v>
      </c>
      <c r="L278" s="44">
        <f>+L279+L280</f>
        <v>0</v>
      </c>
      <c r="M278" s="44">
        <f>+M279+M280</f>
        <v>566</v>
      </c>
      <c r="N278" s="44"/>
      <c r="O278" s="44">
        <f>+O279+O280</f>
        <v>0</v>
      </c>
      <c r="P278" s="45">
        <f>+P279+P280</f>
        <v>566</v>
      </c>
      <c r="Q278" s="18"/>
    </row>
    <row r="279" spans="1:17" ht="12.75" customHeight="1">
      <c r="A279" s="23" t="s">
        <v>20</v>
      </c>
      <c r="B279" s="25"/>
      <c r="C279" s="25">
        <v>566</v>
      </c>
      <c r="D279" s="25"/>
      <c r="E279" s="43"/>
      <c r="F279" s="24">
        <f>SUM(B279:E279)</f>
        <v>566</v>
      </c>
      <c r="G279" s="29"/>
      <c r="H279" s="29"/>
      <c r="I279" s="29"/>
      <c r="J279" s="29"/>
      <c r="K279" s="24">
        <f>SUM(G279:J279)</f>
        <v>0</v>
      </c>
      <c r="L279" s="25">
        <f>+B279-G279</f>
        <v>0</v>
      </c>
      <c r="M279" s="25">
        <f>+C279-H279</f>
        <v>566</v>
      </c>
      <c r="N279" s="25"/>
      <c r="O279" s="25">
        <f>+E279-J279</f>
        <v>0</v>
      </c>
      <c r="P279" s="26">
        <f>SUM(L279:O279)</f>
        <v>566</v>
      </c>
      <c r="Q279" s="18"/>
    </row>
    <row r="280" spans="1:17" ht="12.75" customHeight="1">
      <c r="A280" s="23" t="s">
        <v>21</v>
      </c>
      <c r="B280" s="25"/>
      <c r="C280" s="25"/>
      <c r="D280" s="25"/>
      <c r="E280" s="43"/>
      <c r="F280" s="24">
        <f>SUM(B280:E280)</f>
        <v>0</v>
      </c>
      <c r="G280" s="29"/>
      <c r="H280" s="29"/>
      <c r="I280" s="29"/>
      <c r="J280" s="29"/>
      <c r="K280" s="24">
        <f>SUM(G280:J280)</f>
        <v>0</v>
      </c>
      <c r="L280" s="25">
        <f>+B280-G280</f>
        <v>0</v>
      </c>
      <c r="M280" s="25">
        <f>+C280-H280</f>
        <v>0</v>
      </c>
      <c r="N280" s="25"/>
      <c r="O280" s="25">
        <f>+E280-J280</f>
        <v>0</v>
      </c>
      <c r="P280" s="26">
        <f>SUM(L280:O280)</f>
        <v>0</v>
      </c>
      <c r="Q280" s="18"/>
    </row>
    <row r="281" spans="1:17" ht="12.75" customHeight="1">
      <c r="A281" s="22"/>
      <c r="B281" s="24"/>
      <c r="C281" s="24"/>
      <c r="D281" s="24"/>
      <c r="E281" s="26"/>
      <c r="F281" s="24"/>
      <c r="G281" s="32"/>
      <c r="H281" s="32"/>
      <c r="I281" s="32"/>
      <c r="J281" s="32"/>
      <c r="K281" s="32"/>
      <c r="L281" s="24"/>
      <c r="M281" s="24"/>
      <c r="N281" s="24"/>
      <c r="O281" s="24"/>
      <c r="P281" s="26"/>
      <c r="Q281" s="18"/>
    </row>
    <row r="282" spans="1:17" ht="12.75" customHeight="1">
      <c r="A282" s="42" t="s">
        <v>196</v>
      </c>
      <c r="B282" s="17">
        <f t="shared" ref="B282:K282" si="133">+B283+B287</f>
        <v>31493</v>
      </c>
      <c r="C282" s="17">
        <f t="shared" si="133"/>
        <v>85046</v>
      </c>
      <c r="D282" s="17">
        <f t="shared" si="133"/>
        <v>0</v>
      </c>
      <c r="E282" s="17">
        <f t="shared" si="133"/>
        <v>0</v>
      </c>
      <c r="F282" s="17">
        <f t="shared" si="133"/>
        <v>116539</v>
      </c>
      <c r="G282" s="17">
        <f t="shared" si="133"/>
        <v>31470</v>
      </c>
      <c r="H282" s="17">
        <f t="shared" si="133"/>
        <v>85028</v>
      </c>
      <c r="I282" s="17">
        <f t="shared" si="133"/>
        <v>0</v>
      </c>
      <c r="J282" s="17">
        <f t="shared" si="133"/>
        <v>0</v>
      </c>
      <c r="K282" s="17">
        <f t="shared" si="133"/>
        <v>116498</v>
      </c>
      <c r="L282" s="17">
        <f>+L283+L287</f>
        <v>23</v>
      </c>
      <c r="M282" s="17">
        <f>+M283+M287</f>
        <v>18</v>
      </c>
      <c r="N282" s="17"/>
      <c r="O282" s="17">
        <f>+O283+O287</f>
        <v>0</v>
      </c>
      <c r="P282" s="17">
        <f>+P283+P287</f>
        <v>41</v>
      </c>
      <c r="Q282" s="18">
        <f>+K282/F282</f>
        <v>0.99964818644402298</v>
      </c>
    </row>
    <row r="283" spans="1:17" ht="12.75" customHeight="1">
      <c r="A283" s="41" t="s">
        <v>15</v>
      </c>
      <c r="B283" s="62">
        <f t="shared" ref="B283:K283" si="134">+B284+B285+B286</f>
        <v>31493</v>
      </c>
      <c r="C283" s="62">
        <f t="shared" si="134"/>
        <v>85046</v>
      </c>
      <c r="D283" s="62">
        <f t="shared" si="134"/>
        <v>0</v>
      </c>
      <c r="E283" s="62">
        <f t="shared" si="134"/>
        <v>0</v>
      </c>
      <c r="F283" s="62">
        <f t="shared" si="134"/>
        <v>116539</v>
      </c>
      <c r="G283" s="62">
        <f t="shared" si="134"/>
        <v>31470</v>
      </c>
      <c r="H283" s="62">
        <f t="shared" si="134"/>
        <v>85028</v>
      </c>
      <c r="I283" s="62">
        <f t="shared" si="134"/>
        <v>0</v>
      </c>
      <c r="J283" s="62">
        <f t="shared" si="134"/>
        <v>0</v>
      </c>
      <c r="K283" s="62">
        <f t="shared" si="134"/>
        <v>116498</v>
      </c>
      <c r="L283" s="62">
        <f>+L284+L285+L286</f>
        <v>23</v>
      </c>
      <c r="M283" s="62">
        <f>+M284+M285+M286</f>
        <v>18</v>
      </c>
      <c r="N283" s="62"/>
      <c r="O283" s="62">
        <f>+O284+O285+O286</f>
        <v>0</v>
      </c>
      <c r="P283" s="17">
        <f>+P284+P285+P286</f>
        <v>41</v>
      </c>
      <c r="Q283" s="18"/>
    </row>
    <row r="284" spans="1:17" ht="12.75" customHeight="1">
      <c r="A284" s="22" t="s">
        <v>16</v>
      </c>
      <c r="B284" s="25">
        <v>26737</v>
      </c>
      <c r="C284" s="25">
        <v>85046</v>
      </c>
      <c r="D284" s="25"/>
      <c r="E284" s="43"/>
      <c r="F284" s="24">
        <f>SUM(B284:E284)</f>
        <v>111783</v>
      </c>
      <c r="G284" s="29">
        <v>26719</v>
      </c>
      <c r="H284" s="29">
        <v>85028</v>
      </c>
      <c r="I284" s="29"/>
      <c r="J284" s="29"/>
      <c r="K284" s="24">
        <f>SUM(G284:J284)</f>
        <v>111747</v>
      </c>
      <c r="L284" s="25">
        <f t="shared" ref="L284:M286" si="135">+B284-G284</f>
        <v>18</v>
      </c>
      <c r="M284" s="25">
        <f t="shared" si="135"/>
        <v>18</v>
      </c>
      <c r="N284" s="25"/>
      <c r="O284" s="25">
        <f>+E284-J284</f>
        <v>0</v>
      </c>
      <c r="P284" s="26">
        <f>SUM(L284:O284)</f>
        <v>36</v>
      </c>
      <c r="Q284" s="18"/>
    </row>
    <row r="285" spans="1:17" ht="12.75" customHeight="1">
      <c r="A285" s="22" t="s">
        <v>17</v>
      </c>
      <c r="B285" s="25">
        <v>2312</v>
      </c>
      <c r="C285" s="25"/>
      <c r="D285" s="25"/>
      <c r="E285" s="43"/>
      <c r="F285" s="24">
        <f>SUM(B285:E285)</f>
        <v>2312</v>
      </c>
      <c r="G285" s="29">
        <v>2307</v>
      </c>
      <c r="H285" s="29"/>
      <c r="I285" s="29"/>
      <c r="J285" s="34"/>
      <c r="K285" s="24">
        <f>SUM(G285:J285)</f>
        <v>2307</v>
      </c>
      <c r="L285" s="25">
        <f t="shared" si="135"/>
        <v>5</v>
      </c>
      <c r="M285" s="25">
        <f t="shared" si="135"/>
        <v>0</v>
      </c>
      <c r="N285" s="25"/>
      <c r="O285" s="25">
        <f>+E285-J285</f>
        <v>0</v>
      </c>
      <c r="P285" s="26">
        <f>SUM(L285:O285)</f>
        <v>5</v>
      </c>
      <c r="Q285" s="18"/>
    </row>
    <row r="286" spans="1:17" ht="12.75" customHeight="1">
      <c r="A286" s="22" t="s">
        <v>18</v>
      </c>
      <c r="B286" s="25">
        <v>2444</v>
      </c>
      <c r="C286" s="25"/>
      <c r="D286" s="25"/>
      <c r="E286" s="43"/>
      <c r="F286" s="24">
        <f>SUM(B286:E286)</f>
        <v>2444</v>
      </c>
      <c r="G286" s="29">
        <v>2444</v>
      </c>
      <c r="H286" s="34"/>
      <c r="I286" s="34"/>
      <c r="J286" s="34"/>
      <c r="K286" s="24">
        <f>SUM(G286:J286)</f>
        <v>2444</v>
      </c>
      <c r="L286" s="25">
        <f t="shared" si="135"/>
        <v>0</v>
      </c>
      <c r="M286" s="25">
        <f t="shared" si="135"/>
        <v>0</v>
      </c>
      <c r="N286" s="25"/>
      <c r="O286" s="25">
        <f>+E286-J286</f>
        <v>0</v>
      </c>
      <c r="P286" s="26">
        <f>SUM(L286:O286)</f>
        <v>0</v>
      </c>
      <c r="Q286" s="18"/>
    </row>
    <row r="287" spans="1:17" ht="12.75" customHeight="1">
      <c r="A287" s="22" t="s">
        <v>19</v>
      </c>
      <c r="B287" s="44">
        <f t="shared" ref="B287:K287" si="136">+B288+B289</f>
        <v>0</v>
      </c>
      <c r="C287" s="44">
        <f t="shared" si="136"/>
        <v>0</v>
      </c>
      <c r="D287" s="44">
        <f t="shared" si="136"/>
        <v>0</v>
      </c>
      <c r="E287" s="44">
        <f t="shared" si="136"/>
        <v>0</v>
      </c>
      <c r="F287" s="44">
        <f t="shared" si="136"/>
        <v>0</v>
      </c>
      <c r="G287" s="44">
        <f t="shared" si="136"/>
        <v>0</v>
      </c>
      <c r="H287" s="44">
        <f t="shared" si="136"/>
        <v>0</v>
      </c>
      <c r="I287" s="44">
        <f t="shared" si="136"/>
        <v>0</v>
      </c>
      <c r="J287" s="44">
        <f t="shared" si="136"/>
        <v>0</v>
      </c>
      <c r="K287" s="44">
        <f t="shared" si="136"/>
        <v>0</v>
      </c>
      <c r="L287" s="44">
        <f>+L288+L289</f>
        <v>0</v>
      </c>
      <c r="M287" s="44">
        <f>+M288+M289</f>
        <v>0</v>
      </c>
      <c r="N287" s="44"/>
      <c r="O287" s="44">
        <f>+O288+O289</f>
        <v>0</v>
      </c>
      <c r="P287" s="45">
        <f>+P288+P289</f>
        <v>0</v>
      </c>
      <c r="Q287" s="18"/>
    </row>
    <row r="288" spans="1:17" ht="12.75" customHeight="1">
      <c r="A288" s="23" t="s">
        <v>20</v>
      </c>
      <c r="B288" s="25"/>
      <c r="C288" s="25"/>
      <c r="D288" s="25"/>
      <c r="E288" s="43"/>
      <c r="F288" s="24">
        <f>SUM(B288:E288)</f>
        <v>0</v>
      </c>
      <c r="G288" s="29"/>
      <c r="H288" s="29"/>
      <c r="I288" s="29"/>
      <c r="J288" s="29"/>
      <c r="K288" s="24">
        <f>SUM(G288:J288)</f>
        <v>0</v>
      </c>
      <c r="L288" s="25">
        <f>+B288-G288</f>
        <v>0</v>
      </c>
      <c r="M288" s="25">
        <f>+C288-H288</f>
        <v>0</v>
      </c>
      <c r="N288" s="25"/>
      <c r="O288" s="25">
        <f>+E288-J288</f>
        <v>0</v>
      </c>
      <c r="P288" s="26">
        <f>SUM(L288:O288)</f>
        <v>0</v>
      </c>
      <c r="Q288" s="18"/>
    </row>
    <row r="289" spans="1:17" ht="12.75" customHeight="1">
      <c r="A289" s="23" t="s">
        <v>21</v>
      </c>
      <c r="B289" s="25"/>
      <c r="C289" s="25"/>
      <c r="D289" s="25"/>
      <c r="E289" s="43"/>
      <c r="F289" s="24">
        <f>SUM(B289:E289)</f>
        <v>0</v>
      </c>
      <c r="G289" s="29"/>
      <c r="H289" s="29"/>
      <c r="I289" s="29"/>
      <c r="J289" s="29"/>
      <c r="K289" s="24">
        <f>SUM(G289:J289)</f>
        <v>0</v>
      </c>
      <c r="L289" s="25">
        <f>+B289-G289</f>
        <v>0</v>
      </c>
      <c r="M289" s="25">
        <f>+C289-H289</f>
        <v>0</v>
      </c>
      <c r="N289" s="25"/>
      <c r="O289" s="25">
        <f>+E289-J289</f>
        <v>0</v>
      </c>
      <c r="P289" s="26">
        <f>SUM(L289:O289)</f>
        <v>0</v>
      </c>
      <c r="Q289" s="18"/>
    </row>
    <row r="290" spans="1:17" ht="12.75" customHeight="1">
      <c r="A290" s="22"/>
      <c r="B290" s="24"/>
      <c r="C290" s="24"/>
      <c r="D290" s="24"/>
      <c r="E290" s="26"/>
      <c r="F290" s="24"/>
      <c r="G290" s="32"/>
      <c r="H290" s="32"/>
      <c r="I290" s="32"/>
      <c r="J290" s="32"/>
      <c r="K290" s="32"/>
      <c r="L290" s="24"/>
      <c r="M290" s="24"/>
      <c r="N290" s="24"/>
      <c r="O290" s="24"/>
      <c r="P290" s="26"/>
      <c r="Q290" s="18"/>
    </row>
    <row r="291" spans="1:17" ht="12.75" customHeight="1">
      <c r="A291" s="42" t="s">
        <v>197</v>
      </c>
      <c r="B291" s="17">
        <f t="shared" ref="B291:K291" si="137">+B292+B296</f>
        <v>46939</v>
      </c>
      <c r="C291" s="17">
        <f t="shared" si="137"/>
        <v>166142</v>
      </c>
      <c r="D291" s="17">
        <f t="shared" si="137"/>
        <v>0</v>
      </c>
      <c r="E291" s="17">
        <f t="shared" si="137"/>
        <v>0</v>
      </c>
      <c r="F291" s="17">
        <f t="shared" si="137"/>
        <v>213081</v>
      </c>
      <c r="G291" s="17">
        <f t="shared" si="137"/>
        <v>46617</v>
      </c>
      <c r="H291" s="17">
        <f t="shared" si="137"/>
        <v>164188</v>
      </c>
      <c r="I291" s="17">
        <f t="shared" si="137"/>
        <v>0</v>
      </c>
      <c r="J291" s="17">
        <f t="shared" si="137"/>
        <v>0</v>
      </c>
      <c r="K291" s="17">
        <f t="shared" si="137"/>
        <v>210805</v>
      </c>
      <c r="L291" s="17">
        <f>+L292+L296</f>
        <v>322</v>
      </c>
      <c r="M291" s="17">
        <f>+M292+M296</f>
        <v>1954</v>
      </c>
      <c r="N291" s="17"/>
      <c r="O291" s="17">
        <f>+O292+O296</f>
        <v>0</v>
      </c>
      <c r="P291" s="17">
        <f>+P292+P296</f>
        <v>2276</v>
      </c>
      <c r="Q291" s="18">
        <f>+K291/F291</f>
        <v>0.98931861592539927</v>
      </c>
    </row>
    <row r="292" spans="1:17" ht="12.75" customHeight="1">
      <c r="A292" s="41" t="s">
        <v>15</v>
      </c>
      <c r="B292" s="62">
        <f t="shared" ref="B292:K292" si="138">+B293+B294+B295</f>
        <v>46939</v>
      </c>
      <c r="C292" s="62">
        <f t="shared" si="138"/>
        <v>165939</v>
      </c>
      <c r="D292" s="62">
        <f t="shared" si="138"/>
        <v>0</v>
      </c>
      <c r="E292" s="62">
        <f t="shared" si="138"/>
        <v>0</v>
      </c>
      <c r="F292" s="62">
        <f t="shared" si="138"/>
        <v>212878</v>
      </c>
      <c r="G292" s="62">
        <f t="shared" si="138"/>
        <v>46617</v>
      </c>
      <c r="H292" s="62">
        <f t="shared" si="138"/>
        <v>164188</v>
      </c>
      <c r="I292" s="62">
        <f t="shared" si="138"/>
        <v>0</v>
      </c>
      <c r="J292" s="62">
        <f t="shared" si="138"/>
        <v>0</v>
      </c>
      <c r="K292" s="62">
        <f t="shared" si="138"/>
        <v>210805</v>
      </c>
      <c r="L292" s="62">
        <f>+L293+L294+L295</f>
        <v>322</v>
      </c>
      <c r="M292" s="62">
        <f>+M293+M294+M295</f>
        <v>1751</v>
      </c>
      <c r="N292" s="62"/>
      <c r="O292" s="62">
        <f>+O293+O294+O295</f>
        <v>0</v>
      </c>
      <c r="P292" s="17">
        <f>+P293+P294+P295</f>
        <v>2073</v>
      </c>
      <c r="Q292" s="18"/>
    </row>
    <row r="293" spans="1:17" ht="12.75" customHeight="1">
      <c r="A293" s="22" t="s">
        <v>16</v>
      </c>
      <c r="B293" s="25">
        <v>41857</v>
      </c>
      <c r="C293" s="25">
        <v>140456</v>
      </c>
      <c r="D293" s="25"/>
      <c r="E293" s="43"/>
      <c r="F293" s="24">
        <f>SUM(B293:E293)</f>
        <v>182313</v>
      </c>
      <c r="G293" s="29">
        <v>41857</v>
      </c>
      <c r="H293" s="29">
        <v>139535</v>
      </c>
      <c r="I293" s="29"/>
      <c r="J293" s="29"/>
      <c r="K293" s="24">
        <f>SUM(G293:J293)</f>
        <v>181392</v>
      </c>
      <c r="L293" s="25">
        <f t="shared" ref="L293:M295" si="139">+B293-G293</f>
        <v>0</v>
      </c>
      <c r="M293" s="25">
        <f t="shared" si="139"/>
        <v>921</v>
      </c>
      <c r="N293" s="25"/>
      <c r="O293" s="25">
        <f>+E293-J293</f>
        <v>0</v>
      </c>
      <c r="P293" s="26">
        <f>SUM(L293:O293)</f>
        <v>921</v>
      </c>
      <c r="Q293" s="18"/>
    </row>
    <row r="294" spans="1:17" ht="12.75" customHeight="1">
      <c r="A294" s="22" t="s">
        <v>17</v>
      </c>
      <c r="B294" s="25">
        <v>1206</v>
      </c>
      <c r="C294" s="25"/>
      <c r="D294" s="25"/>
      <c r="E294" s="43"/>
      <c r="F294" s="24">
        <f>SUM(B294:E294)</f>
        <v>1206</v>
      </c>
      <c r="G294" s="29">
        <v>1174</v>
      </c>
      <c r="H294" s="34"/>
      <c r="I294" s="34"/>
      <c r="J294" s="34"/>
      <c r="K294" s="24">
        <f>SUM(G294:J294)</f>
        <v>1174</v>
      </c>
      <c r="L294" s="25">
        <f t="shared" si="139"/>
        <v>32</v>
      </c>
      <c r="M294" s="25">
        <f t="shared" si="139"/>
        <v>0</v>
      </c>
      <c r="N294" s="25"/>
      <c r="O294" s="25">
        <f>+E294-J294</f>
        <v>0</v>
      </c>
      <c r="P294" s="26">
        <f>SUM(L294:O294)</f>
        <v>32</v>
      </c>
      <c r="Q294" s="18"/>
    </row>
    <row r="295" spans="1:17" ht="12.75" customHeight="1">
      <c r="A295" s="22" t="s">
        <v>18</v>
      </c>
      <c r="B295" s="25">
        <v>3876</v>
      </c>
      <c r="C295" s="25">
        <v>25483</v>
      </c>
      <c r="D295" s="25"/>
      <c r="E295" s="43"/>
      <c r="F295" s="24">
        <f>SUM(B295:E295)</f>
        <v>29359</v>
      </c>
      <c r="G295" s="29">
        <v>3586</v>
      </c>
      <c r="H295" s="29">
        <v>24653</v>
      </c>
      <c r="I295" s="29"/>
      <c r="J295" s="34"/>
      <c r="K295" s="24">
        <f>SUM(G295:J295)</f>
        <v>28239</v>
      </c>
      <c r="L295" s="25">
        <f t="shared" si="139"/>
        <v>290</v>
      </c>
      <c r="M295" s="25">
        <f t="shared" si="139"/>
        <v>830</v>
      </c>
      <c r="N295" s="25"/>
      <c r="O295" s="25">
        <f>+E295-J295</f>
        <v>0</v>
      </c>
      <c r="P295" s="26">
        <f>SUM(L295:O295)</f>
        <v>1120</v>
      </c>
      <c r="Q295" s="18"/>
    </row>
    <row r="296" spans="1:17" ht="12.75" customHeight="1">
      <c r="A296" s="22" t="s">
        <v>19</v>
      </c>
      <c r="B296" s="44">
        <f t="shared" ref="B296:K296" si="140">+B297+B298</f>
        <v>0</v>
      </c>
      <c r="C296" s="44">
        <f t="shared" si="140"/>
        <v>203</v>
      </c>
      <c r="D296" s="44">
        <f t="shared" si="140"/>
        <v>0</v>
      </c>
      <c r="E296" s="44">
        <f t="shared" si="140"/>
        <v>0</v>
      </c>
      <c r="F296" s="44">
        <f t="shared" si="140"/>
        <v>203</v>
      </c>
      <c r="G296" s="44">
        <f t="shared" si="140"/>
        <v>0</v>
      </c>
      <c r="H296" s="44">
        <f t="shared" si="140"/>
        <v>0</v>
      </c>
      <c r="I296" s="44">
        <f t="shared" si="140"/>
        <v>0</v>
      </c>
      <c r="J296" s="44">
        <f t="shared" si="140"/>
        <v>0</v>
      </c>
      <c r="K296" s="44">
        <f t="shared" si="140"/>
        <v>0</v>
      </c>
      <c r="L296" s="44">
        <f>+L297+L298</f>
        <v>0</v>
      </c>
      <c r="M296" s="44">
        <f>+M297+M298</f>
        <v>203</v>
      </c>
      <c r="N296" s="44"/>
      <c r="O296" s="44">
        <f>+O297+O298</f>
        <v>0</v>
      </c>
      <c r="P296" s="45">
        <f>+P297+P298</f>
        <v>203</v>
      </c>
      <c r="Q296" s="18"/>
    </row>
    <row r="297" spans="1:17" ht="12.75" customHeight="1">
      <c r="A297" s="23" t="s">
        <v>20</v>
      </c>
      <c r="B297" s="25"/>
      <c r="C297" s="25">
        <v>203</v>
      </c>
      <c r="D297" s="25"/>
      <c r="E297" s="43"/>
      <c r="F297" s="24">
        <f>SUM(B297:E297)</f>
        <v>203</v>
      </c>
      <c r="G297" s="29"/>
      <c r="H297" s="29"/>
      <c r="I297" s="29"/>
      <c r="J297" s="29"/>
      <c r="K297" s="24">
        <f>SUM(G297:J297)</f>
        <v>0</v>
      </c>
      <c r="L297" s="25">
        <f>+B297-G297</f>
        <v>0</v>
      </c>
      <c r="M297" s="25">
        <f>+C297-H297</f>
        <v>203</v>
      </c>
      <c r="N297" s="25"/>
      <c r="O297" s="25">
        <f>+E297-J297</f>
        <v>0</v>
      </c>
      <c r="P297" s="26">
        <f>SUM(L297:O297)</f>
        <v>203</v>
      </c>
      <c r="Q297" s="18"/>
    </row>
    <row r="298" spans="1:17" ht="12.75" customHeight="1">
      <c r="A298" s="23" t="s">
        <v>21</v>
      </c>
      <c r="B298" s="25"/>
      <c r="C298" s="25"/>
      <c r="D298" s="25"/>
      <c r="E298" s="43"/>
      <c r="F298" s="24">
        <f>SUM(B298:E298)</f>
        <v>0</v>
      </c>
      <c r="G298" s="29"/>
      <c r="H298" s="29"/>
      <c r="I298" s="29"/>
      <c r="J298" s="29"/>
      <c r="K298" s="24">
        <f>SUM(G298:J298)</f>
        <v>0</v>
      </c>
      <c r="L298" s="25">
        <f>+B298-G298</f>
        <v>0</v>
      </c>
      <c r="M298" s="25">
        <f>+C298-H298</f>
        <v>0</v>
      </c>
      <c r="N298" s="25"/>
      <c r="O298" s="25">
        <f>+E298-J298</f>
        <v>0</v>
      </c>
      <c r="P298" s="26">
        <f>SUM(L298:O298)</f>
        <v>0</v>
      </c>
      <c r="Q298" s="18"/>
    </row>
    <row r="299" spans="1:17" ht="12.75" customHeight="1">
      <c r="A299" s="65"/>
      <c r="B299" s="77"/>
      <c r="C299" s="77"/>
      <c r="D299" s="77"/>
      <c r="E299" s="75"/>
      <c r="F299" s="77"/>
      <c r="G299" s="82"/>
      <c r="H299" s="82"/>
      <c r="I299" s="82"/>
      <c r="J299" s="82"/>
      <c r="K299" s="82"/>
      <c r="L299" s="77"/>
      <c r="M299" s="77"/>
      <c r="N299" s="77"/>
      <c r="O299" s="77"/>
      <c r="P299" s="75"/>
      <c r="Q299" s="76"/>
    </row>
    <row r="300" spans="1:17" ht="12.75" customHeight="1">
      <c r="A300" s="42" t="s">
        <v>198</v>
      </c>
      <c r="B300" s="17">
        <f t="shared" ref="B300:K300" si="141">+B301+B305</f>
        <v>67161</v>
      </c>
      <c r="C300" s="17">
        <f t="shared" si="141"/>
        <v>47714</v>
      </c>
      <c r="D300" s="17">
        <f t="shared" si="141"/>
        <v>0</v>
      </c>
      <c r="E300" s="17">
        <f t="shared" si="141"/>
        <v>3000</v>
      </c>
      <c r="F300" s="17">
        <f t="shared" si="141"/>
        <v>117875</v>
      </c>
      <c r="G300" s="17">
        <f t="shared" si="141"/>
        <v>65622</v>
      </c>
      <c r="H300" s="17">
        <f t="shared" si="141"/>
        <v>47714</v>
      </c>
      <c r="I300" s="17">
        <f t="shared" si="141"/>
        <v>0</v>
      </c>
      <c r="J300" s="17">
        <f t="shared" si="141"/>
        <v>2614</v>
      </c>
      <c r="K300" s="17">
        <f t="shared" si="141"/>
        <v>115950</v>
      </c>
      <c r="L300" s="17">
        <f>+L301+L305</f>
        <v>1539</v>
      </c>
      <c r="M300" s="17">
        <f>+M301+M305</f>
        <v>0</v>
      </c>
      <c r="N300" s="17"/>
      <c r="O300" s="17">
        <f>+O301+O305</f>
        <v>386</v>
      </c>
      <c r="P300" s="17">
        <f>+P301+P305</f>
        <v>1925</v>
      </c>
      <c r="Q300" s="18">
        <f>+K300/F300</f>
        <v>0.98366914103923653</v>
      </c>
    </row>
    <row r="301" spans="1:17" ht="12.75" customHeight="1">
      <c r="A301" s="41" t="s">
        <v>15</v>
      </c>
      <c r="B301" s="62">
        <f t="shared" ref="B301:K301" si="142">+B302+B303+B304</f>
        <v>67161</v>
      </c>
      <c r="C301" s="62">
        <f t="shared" si="142"/>
        <v>47714</v>
      </c>
      <c r="D301" s="62">
        <f t="shared" si="142"/>
        <v>0</v>
      </c>
      <c r="E301" s="62">
        <f t="shared" si="142"/>
        <v>3000</v>
      </c>
      <c r="F301" s="62">
        <f t="shared" si="142"/>
        <v>117875</v>
      </c>
      <c r="G301" s="62">
        <f t="shared" si="142"/>
        <v>65622</v>
      </c>
      <c r="H301" s="62">
        <f t="shared" si="142"/>
        <v>47714</v>
      </c>
      <c r="I301" s="62">
        <f t="shared" si="142"/>
        <v>0</v>
      </c>
      <c r="J301" s="62">
        <f t="shared" si="142"/>
        <v>2614</v>
      </c>
      <c r="K301" s="62">
        <f t="shared" si="142"/>
        <v>115950</v>
      </c>
      <c r="L301" s="62">
        <f>+L302+L303+L304</f>
        <v>1539</v>
      </c>
      <c r="M301" s="62">
        <f>+M302+M303+M304</f>
        <v>0</v>
      </c>
      <c r="N301" s="62"/>
      <c r="O301" s="62">
        <f>+O302+O303+O304</f>
        <v>386</v>
      </c>
      <c r="P301" s="17">
        <f>+P302+P303+P304</f>
        <v>1925</v>
      </c>
      <c r="Q301" s="18"/>
    </row>
    <row r="302" spans="1:17" ht="12.75" customHeight="1">
      <c r="A302" s="22" t="s">
        <v>16</v>
      </c>
      <c r="B302" s="25">
        <v>55577</v>
      </c>
      <c r="C302" s="25">
        <v>47714</v>
      </c>
      <c r="D302" s="25"/>
      <c r="E302" s="43">
        <v>3000</v>
      </c>
      <c r="F302" s="24">
        <f>SUM(B302:E302)</f>
        <v>106291</v>
      </c>
      <c r="G302" s="29">
        <f>52416+1838</f>
        <v>54254</v>
      </c>
      <c r="H302" s="29">
        <f>49552-1838</f>
        <v>47714</v>
      </c>
      <c r="I302" s="29"/>
      <c r="J302" s="29">
        <v>2614</v>
      </c>
      <c r="K302" s="24">
        <f>SUM(G302:J302)</f>
        <v>104582</v>
      </c>
      <c r="L302" s="25">
        <f t="shared" ref="L302:M304" si="143">+B302-G302</f>
        <v>1323</v>
      </c>
      <c r="M302" s="25">
        <f t="shared" si="143"/>
        <v>0</v>
      </c>
      <c r="N302" s="25"/>
      <c r="O302" s="25">
        <f>+E302-J302</f>
        <v>386</v>
      </c>
      <c r="P302" s="26">
        <f>SUM(L302:O302)</f>
        <v>1709</v>
      </c>
      <c r="Q302" s="18"/>
    </row>
    <row r="303" spans="1:17" ht="12.75" customHeight="1">
      <c r="A303" s="22" t="s">
        <v>17</v>
      </c>
      <c r="B303" s="25">
        <v>6556</v>
      </c>
      <c r="C303" s="25"/>
      <c r="D303" s="25"/>
      <c r="E303" s="43"/>
      <c r="F303" s="24">
        <f>SUM(B303:E303)</f>
        <v>6556</v>
      </c>
      <c r="G303" s="29">
        <v>6539</v>
      </c>
      <c r="H303" s="34"/>
      <c r="I303" s="34"/>
      <c r="J303" s="34"/>
      <c r="K303" s="24">
        <f>SUM(G303:J303)</f>
        <v>6539</v>
      </c>
      <c r="L303" s="25">
        <f t="shared" si="143"/>
        <v>17</v>
      </c>
      <c r="M303" s="25">
        <f t="shared" si="143"/>
        <v>0</v>
      </c>
      <c r="N303" s="25"/>
      <c r="O303" s="25">
        <f>+E303-J303</f>
        <v>0</v>
      </c>
      <c r="P303" s="26">
        <f>SUM(L303:O303)</f>
        <v>17</v>
      </c>
      <c r="Q303" s="18"/>
    </row>
    <row r="304" spans="1:17" ht="12.75" customHeight="1">
      <c r="A304" s="22" t="s">
        <v>18</v>
      </c>
      <c r="B304" s="25">
        <v>5028</v>
      </c>
      <c r="C304" s="25"/>
      <c r="D304" s="25"/>
      <c r="E304" s="43"/>
      <c r="F304" s="24">
        <f>SUM(B304:E304)</f>
        <v>5028</v>
      </c>
      <c r="G304" s="29">
        <v>4829</v>
      </c>
      <c r="H304" s="34"/>
      <c r="I304" s="34"/>
      <c r="J304" s="34"/>
      <c r="K304" s="24">
        <f>SUM(G304:J304)</f>
        <v>4829</v>
      </c>
      <c r="L304" s="25">
        <f t="shared" si="143"/>
        <v>199</v>
      </c>
      <c r="M304" s="25">
        <f t="shared" si="143"/>
        <v>0</v>
      </c>
      <c r="N304" s="25"/>
      <c r="O304" s="25">
        <f>+E304-J304</f>
        <v>0</v>
      </c>
      <c r="P304" s="26">
        <f>SUM(L304:O304)</f>
        <v>199</v>
      </c>
      <c r="Q304" s="18"/>
    </row>
    <row r="305" spans="1:17" ht="12.75" customHeight="1">
      <c r="A305" s="22" t="s">
        <v>19</v>
      </c>
      <c r="B305" s="44">
        <f t="shared" ref="B305:K305" si="144">+B306+B307</f>
        <v>0</v>
      </c>
      <c r="C305" s="44">
        <f t="shared" si="144"/>
        <v>0</v>
      </c>
      <c r="D305" s="44">
        <f t="shared" si="144"/>
        <v>0</v>
      </c>
      <c r="E305" s="44">
        <f t="shared" si="144"/>
        <v>0</v>
      </c>
      <c r="F305" s="44">
        <f t="shared" si="144"/>
        <v>0</v>
      </c>
      <c r="G305" s="44">
        <f t="shared" si="144"/>
        <v>0</v>
      </c>
      <c r="H305" s="44">
        <f t="shared" si="144"/>
        <v>0</v>
      </c>
      <c r="I305" s="44">
        <f t="shared" si="144"/>
        <v>0</v>
      </c>
      <c r="J305" s="44">
        <f t="shared" si="144"/>
        <v>0</v>
      </c>
      <c r="K305" s="44">
        <f t="shared" si="144"/>
        <v>0</v>
      </c>
      <c r="L305" s="44">
        <f>+L306+L307</f>
        <v>0</v>
      </c>
      <c r="M305" s="44">
        <f>+M306+M307</f>
        <v>0</v>
      </c>
      <c r="N305" s="44"/>
      <c r="O305" s="44">
        <f>+O306+O307</f>
        <v>0</v>
      </c>
      <c r="P305" s="45">
        <f>+P306+P307</f>
        <v>0</v>
      </c>
      <c r="Q305" s="18"/>
    </row>
    <row r="306" spans="1:17" ht="12.75" customHeight="1">
      <c r="A306" s="23" t="s">
        <v>20</v>
      </c>
      <c r="B306" s="25"/>
      <c r="C306" s="25"/>
      <c r="D306" s="25"/>
      <c r="E306" s="43"/>
      <c r="F306" s="24">
        <f>SUM(B306:E306)</f>
        <v>0</v>
      </c>
      <c r="G306" s="29"/>
      <c r="H306" s="29"/>
      <c r="I306" s="29"/>
      <c r="J306" s="29"/>
      <c r="K306" s="24">
        <f>SUM(G306:J306)</f>
        <v>0</v>
      </c>
      <c r="L306" s="25">
        <f>+B306-G306</f>
        <v>0</v>
      </c>
      <c r="M306" s="25">
        <f>+C306-H306</f>
        <v>0</v>
      </c>
      <c r="N306" s="25"/>
      <c r="O306" s="25">
        <f>+E306-J306</f>
        <v>0</v>
      </c>
      <c r="P306" s="26">
        <f>SUM(L306:O306)</f>
        <v>0</v>
      </c>
      <c r="Q306" s="18"/>
    </row>
    <row r="307" spans="1:17" ht="12.75" customHeight="1">
      <c r="A307" s="23" t="s">
        <v>21</v>
      </c>
      <c r="B307" s="25"/>
      <c r="C307" s="25"/>
      <c r="D307" s="25"/>
      <c r="E307" s="43"/>
      <c r="F307" s="24">
        <f>SUM(B307:E307)</f>
        <v>0</v>
      </c>
      <c r="G307" s="29"/>
      <c r="H307" s="29"/>
      <c r="I307" s="29"/>
      <c r="J307" s="29"/>
      <c r="K307" s="24">
        <f>SUM(G307:J307)</f>
        <v>0</v>
      </c>
      <c r="L307" s="25">
        <f>+B307-G307</f>
        <v>0</v>
      </c>
      <c r="M307" s="25">
        <f>+C307-H307</f>
        <v>0</v>
      </c>
      <c r="N307" s="25"/>
      <c r="O307" s="25">
        <f>+E307-J307</f>
        <v>0</v>
      </c>
      <c r="P307" s="26">
        <f>SUM(L307:O307)</f>
        <v>0</v>
      </c>
      <c r="Q307" s="18"/>
    </row>
    <row r="308" spans="1:17" ht="12.75" customHeight="1">
      <c r="A308" s="22"/>
      <c r="B308" s="24"/>
      <c r="C308" s="24"/>
      <c r="D308" s="24"/>
      <c r="E308" s="26"/>
      <c r="F308" s="24"/>
      <c r="G308" s="32"/>
      <c r="H308" s="32"/>
      <c r="I308" s="32"/>
      <c r="J308" s="32"/>
      <c r="K308" s="32"/>
      <c r="L308" s="24"/>
      <c r="M308" s="24"/>
      <c r="N308" s="24"/>
      <c r="O308" s="24"/>
      <c r="P308" s="26"/>
      <c r="Q308" s="18"/>
    </row>
    <row r="309" spans="1:17" ht="25.5">
      <c r="A309" s="223" t="s">
        <v>199</v>
      </c>
      <c r="B309" s="17">
        <f t="shared" ref="B309:K309" si="145">+B310+B314</f>
        <v>21587</v>
      </c>
      <c r="C309" s="17">
        <f t="shared" si="145"/>
        <v>55276</v>
      </c>
      <c r="D309" s="17">
        <f t="shared" si="145"/>
        <v>0</v>
      </c>
      <c r="E309" s="17">
        <f t="shared" si="145"/>
        <v>1944</v>
      </c>
      <c r="F309" s="17">
        <f t="shared" si="145"/>
        <v>78807</v>
      </c>
      <c r="G309" s="17">
        <f t="shared" si="145"/>
        <v>15373</v>
      </c>
      <c r="H309" s="17">
        <f t="shared" si="145"/>
        <v>40971</v>
      </c>
      <c r="I309" s="17">
        <f t="shared" si="145"/>
        <v>0</v>
      </c>
      <c r="J309" s="17">
        <f t="shared" si="145"/>
        <v>1933</v>
      </c>
      <c r="K309" s="17">
        <f t="shared" si="145"/>
        <v>58277</v>
      </c>
      <c r="L309" s="17">
        <f>+L310+L314</f>
        <v>6214</v>
      </c>
      <c r="M309" s="17">
        <f>+M310+M314</f>
        <v>14305</v>
      </c>
      <c r="N309" s="17"/>
      <c r="O309" s="17">
        <f>+O310+O314</f>
        <v>11</v>
      </c>
      <c r="P309" s="17">
        <f>+P310+P314</f>
        <v>20530</v>
      </c>
      <c r="Q309" s="18">
        <f>+K309/F309</f>
        <v>0.73949014681436931</v>
      </c>
    </row>
    <row r="310" spans="1:17" ht="12.75" customHeight="1">
      <c r="A310" s="41" t="s">
        <v>15</v>
      </c>
      <c r="B310" s="62">
        <f t="shared" ref="B310:K310" si="146">+B311+B312+B313</f>
        <v>21587</v>
      </c>
      <c r="C310" s="62">
        <f t="shared" si="146"/>
        <v>48445</v>
      </c>
      <c r="D310" s="62">
        <f t="shared" si="146"/>
        <v>0</v>
      </c>
      <c r="E310" s="62">
        <f t="shared" si="146"/>
        <v>0</v>
      </c>
      <c r="F310" s="62">
        <f t="shared" si="146"/>
        <v>70032</v>
      </c>
      <c r="G310" s="62">
        <f t="shared" si="146"/>
        <v>15373</v>
      </c>
      <c r="H310" s="62">
        <f t="shared" si="146"/>
        <v>40971</v>
      </c>
      <c r="I310" s="62">
        <f t="shared" si="146"/>
        <v>0</v>
      </c>
      <c r="J310" s="62">
        <f t="shared" si="146"/>
        <v>0</v>
      </c>
      <c r="K310" s="62">
        <f t="shared" si="146"/>
        <v>56344</v>
      </c>
      <c r="L310" s="62">
        <f>+L311+L312+L313</f>
        <v>6214</v>
      </c>
      <c r="M310" s="62">
        <f>+M311+M312+M313</f>
        <v>7474</v>
      </c>
      <c r="N310" s="62"/>
      <c r="O310" s="62">
        <f>+O311+O312+O313</f>
        <v>0</v>
      </c>
      <c r="P310" s="17">
        <f>+P311+P312+P313</f>
        <v>13688</v>
      </c>
      <c r="Q310" s="18"/>
    </row>
    <row r="311" spans="1:17" ht="12.75" customHeight="1">
      <c r="A311" s="22" t="s">
        <v>16</v>
      </c>
      <c r="B311" s="25">
        <v>21205</v>
      </c>
      <c r="C311" s="25">
        <v>48445</v>
      </c>
      <c r="D311" s="25"/>
      <c r="E311" s="43"/>
      <c r="F311" s="24">
        <f>SUM(B311:E311)</f>
        <v>69650</v>
      </c>
      <c r="G311" s="29">
        <v>15373</v>
      </c>
      <c r="H311" s="29">
        <v>40971</v>
      </c>
      <c r="I311" s="29"/>
      <c r="J311" s="29"/>
      <c r="K311" s="24">
        <f>SUM(G311:J311)</f>
        <v>56344</v>
      </c>
      <c r="L311" s="25">
        <f t="shared" ref="L311:M313" si="147">+B311-G311</f>
        <v>5832</v>
      </c>
      <c r="M311" s="25">
        <f t="shared" si="147"/>
        <v>7474</v>
      </c>
      <c r="N311" s="25"/>
      <c r="O311" s="25">
        <f>+E311-J311</f>
        <v>0</v>
      </c>
      <c r="P311" s="26">
        <f>SUM(L311:O311)</f>
        <v>13306</v>
      </c>
      <c r="Q311" s="18"/>
    </row>
    <row r="312" spans="1:17" ht="12.75" customHeight="1">
      <c r="A312" s="23" t="s">
        <v>17</v>
      </c>
      <c r="B312" s="25">
        <v>382</v>
      </c>
      <c r="C312" s="25"/>
      <c r="D312" s="25"/>
      <c r="E312" s="25"/>
      <c r="F312" s="24">
        <f>SUM(B312:E312)</f>
        <v>382</v>
      </c>
      <c r="G312" s="29"/>
      <c r="H312" s="34"/>
      <c r="I312" s="34"/>
      <c r="J312" s="34"/>
      <c r="K312" s="24">
        <f>SUM(G312:J312)</f>
        <v>0</v>
      </c>
      <c r="L312" s="25">
        <f t="shared" si="147"/>
        <v>382</v>
      </c>
      <c r="M312" s="25">
        <f t="shared" si="147"/>
        <v>0</v>
      </c>
      <c r="N312" s="25"/>
      <c r="O312" s="25">
        <f>+E312-J312</f>
        <v>0</v>
      </c>
      <c r="P312" s="26">
        <f>SUM(L312:O312)</f>
        <v>382</v>
      </c>
      <c r="Q312" s="18"/>
    </row>
    <row r="313" spans="1:17" ht="12.75" customHeight="1">
      <c r="A313" s="22" t="s">
        <v>18</v>
      </c>
      <c r="B313" s="25"/>
      <c r="C313" s="25"/>
      <c r="D313" s="25"/>
      <c r="E313" s="43"/>
      <c r="F313" s="24">
        <f>SUM(B313:E313)</f>
        <v>0</v>
      </c>
      <c r="G313" s="29"/>
      <c r="H313" s="34"/>
      <c r="I313" s="34"/>
      <c r="J313" s="34"/>
      <c r="K313" s="24">
        <f>SUM(G313:J313)</f>
        <v>0</v>
      </c>
      <c r="L313" s="25">
        <f t="shared" si="147"/>
        <v>0</v>
      </c>
      <c r="M313" s="25">
        <f t="shared" si="147"/>
        <v>0</v>
      </c>
      <c r="N313" s="25"/>
      <c r="O313" s="25">
        <f>+E313-J313</f>
        <v>0</v>
      </c>
      <c r="P313" s="26">
        <f>SUM(L313:O313)</f>
        <v>0</v>
      </c>
      <c r="Q313" s="18"/>
    </row>
    <row r="314" spans="1:17" ht="12.75" customHeight="1">
      <c r="A314" s="22" t="s">
        <v>19</v>
      </c>
      <c r="B314" s="44">
        <f t="shared" ref="B314:K314" si="148">+B315+B316</f>
        <v>0</v>
      </c>
      <c r="C314" s="44">
        <f t="shared" si="148"/>
        <v>6831</v>
      </c>
      <c r="D314" s="44">
        <f t="shared" si="148"/>
        <v>0</v>
      </c>
      <c r="E314" s="44">
        <f t="shared" si="148"/>
        <v>1944</v>
      </c>
      <c r="F314" s="44">
        <f t="shared" si="148"/>
        <v>8775</v>
      </c>
      <c r="G314" s="44">
        <f t="shared" si="148"/>
        <v>0</v>
      </c>
      <c r="H314" s="44">
        <f t="shared" si="148"/>
        <v>0</v>
      </c>
      <c r="I314" s="44">
        <f t="shared" si="148"/>
        <v>0</v>
      </c>
      <c r="J314" s="44">
        <f t="shared" si="148"/>
        <v>1933</v>
      </c>
      <c r="K314" s="44">
        <f t="shared" si="148"/>
        <v>1933</v>
      </c>
      <c r="L314" s="44">
        <f>+L315+L316</f>
        <v>0</v>
      </c>
      <c r="M314" s="44">
        <f>+M315+M316</f>
        <v>6831</v>
      </c>
      <c r="N314" s="44"/>
      <c r="O314" s="44">
        <f>+O315+O316</f>
        <v>11</v>
      </c>
      <c r="P314" s="45">
        <f>+P315+P316</f>
        <v>6842</v>
      </c>
      <c r="Q314" s="18"/>
    </row>
    <row r="315" spans="1:17" ht="12.75" customHeight="1">
      <c r="A315" s="23" t="s">
        <v>20</v>
      </c>
      <c r="B315" s="25"/>
      <c r="C315" s="25">
        <v>6831</v>
      </c>
      <c r="D315" s="25"/>
      <c r="E315" s="43">
        <v>1944</v>
      </c>
      <c r="F315" s="24">
        <f>SUM(B315:E315)</f>
        <v>8775</v>
      </c>
      <c r="G315" s="29"/>
      <c r="H315" s="29"/>
      <c r="I315" s="29"/>
      <c r="J315" s="29">
        <v>1933</v>
      </c>
      <c r="K315" s="24">
        <f>SUM(G315:J315)</f>
        <v>1933</v>
      </c>
      <c r="L315" s="25">
        <f>+B315-G315</f>
        <v>0</v>
      </c>
      <c r="M315" s="25">
        <f>+C315-H315</f>
        <v>6831</v>
      </c>
      <c r="N315" s="25"/>
      <c r="O315" s="25">
        <f>+E315-J315</f>
        <v>11</v>
      </c>
      <c r="P315" s="26">
        <f>SUM(L315:O315)</f>
        <v>6842</v>
      </c>
      <c r="Q315" s="18"/>
    </row>
    <row r="316" spans="1:17" ht="12.75" customHeight="1">
      <c r="A316" s="23" t="s">
        <v>21</v>
      </c>
      <c r="B316" s="25"/>
      <c r="C316" s="25"/>
      <c r="D316" s="25"/>
      <c r="E316" s="43"/>
      <c r="F316" s="24">
        <f>SUM(B316:E316)</f>
        <v>0</v>
      </c>
      <c r="G316" s="29"/>
      <c r="H316" s="29"/>
      <c r="I316" s="29"/>
      <c r="J316" s="29"/>
      <c r="K316" s="24">
        <f>SUM(G316:J316)</f>
        <v>0</v>
      </c>
      <c r="L316" s="25">
        <f>+B316-G316</f>
        <v>0</v>
      </c>
      <c r="M316" s="25">
        <f>+C316-H316</f>
        <v>0</v>
      </c>
      <c r="N316" s="25"/>
      <c r="O316" s="25">
        <f>+E316-J316</f>
        <v>0</v>
      </c>
      <c r="P316" s="26">
        <f>SUM(L316:O316)</f>
        <v>0</v>
      </c>
      <c r="Q316" s="18"/>
    </row>
    <row r="317" spans="1:17" ht="12.75" customHeight="1">
      <c r="A317" s="22"/>
      <c r="B317" s="24"/>
      <c r="C317" s="24"/>
      <c r="D317" s="24"/>
      <c r="E317" s="26"/>
      <c r="F317" s="24"/>
      <c r="G317" s="32"/>
      <c r="H317" s="32"/>
      <c r="I317" s="32"/>
      <c r="J317" s="32"/>
      <c r="K317" s="32"/>
      <c r="L317" s="24"/>
      <c r="M317" s="24"/>
      <c r="N317" s="24"/>
      <c r="O317" s="24"/>
      <c r="P317" s="26"/>
      <c r="Q317" s="18"/>
    </row>
    <row r="318" spans="1:17" ht="12.75" customHeight="1">
      <c r="A318" s="42" t="s">
        <v>200</v>
      </c>
      <c r="B318" s="17">
        <f t="shared" ref="B318:K318" si="149">+B319+B323</f>
        <v>24384</v>
      </c>
      <c r="C318" s="17">
        <f t="shared" si="149"/>
        <v>13700</v>
      </c>
      <c r="D318" s="17">
        <f t="shared" si="149"/>
        <v>0</v>
      </c>
      <c r="E318" s="17">
        <f t="shared" si="149"/>
        <v>2130</v>
      </c>
      <c r="F318" s="17">
        <f t="shared" si="149"/>
        <v>40214</v>
      </c>
      <c r="G318" s="17">
        <f t="shared" si="149"/>
        <v>24135</v>
      </c>
      <c r="H318" s="17">
        <f t="shared" si="149"/>
        <v>12433</v>
      </c>
      <c r="I318" s="17">
        <f t="shared" si="149"/>
        <v>0</v>
      </c>
      <c r="J318" s="17">
        <f t="shared" si="149"/>
        <v>2130</v>
      </c>
      <c r="K318" s="17">
        <f t="shared" si="149"/>
        <v>38698</v>
      </c>
      <c r="L318" s="17">
        <f>+L319+L323</f>
        <v>249</v>
      </c>
      <c r="M318" s="17">
        <f>+M319+M323</f>
        <v>1267</v>
      </c>
      <c r="N318" s="17"/>
      <c r="O318" s="17">
        <f>+O319+O323</f>
        <v>0</v>
      </c>
      <c r="P318" s="17">
        <f>+P319+P323</f>
        <v>1516</v>
      </c>
      <c r="Q318" s="18">
        <f>+K318/F318</f>
        <v>0.96230168598000698</v>
      </c>
    </row>
    <row r="319" spans="1:17" ht="12.75" customHeight="1">
      <c r="A319" s="41" t="s">
        <v>15</v>
      </c>
      <c r="B319" s="62">
        <f t="shared" ref="B319:K319" si="150">+B320+B321+B322</f>
        <v>24384</v>
      </c>
      <c r="C319" s="62">
        <f t="shared" si="150"/>
        <v>13331</v>
      </c>
      <c r="D319" s="62">
        <f t="shared" si="150"/>
        <v>0</v>
      </c>
      <c r="E319" s="62">
        <f t="shared" si="150"/>
        <v>1750</v>
      </c>
      <c r="F319" s="62">
        <f t="shared" si="150"/>
        <v>39465</v>
      </c>
      <c r="G319" s="62">
        <f t="shared" si="150"/>
        <v>24135</v>
      </c>
      <c r="H319" s="62">
        <f t="shared" si="150"/>
        <v>12064</v>
      </c>
      <c r="I319" s="62">
        <f t="shared" si="150"/>
        <v>0</v>
      </c>
      <c r="J319" s="62">
        <f t="shared" si="150"/>
        <v>1750</v>
      </c>
      <c r="K319" s="62">
        <f t="shared" si="150"/>
        <v>37949</v>
      </c>
      <c r="L319" s="62">
        <f>+L320+L321+L322</f>
        <v>249</v>
      </c>
      <c r="M319" s="62">
        <f>+M320+M321+M322</f>
        <v>1267</v>
      </c>
      <c r="N319" s="62"/>
      <c r="O319" s="62">
        <f>+O320+O321+O322</f>
        <v>0</v>
      </c>
      <c r="P319" s="17">
        <f>+P320+P321+P322</f>
        <v>1516</v>
      </c>
      <c r="Q319" s="18"/>
    </row>
    <row r="320" spans="1:17" ht="12.75" customHeight="1">
      <c r="A320" s="22" t="s">
        <v>16</v>
      </c>
      <c r="B320" s="25">
        <v>20777</v>
      </c>
      <c r="C320" s="25">
        <v>13331</v>
      </c>
      <c r="D320" s="25"/>
      <c r="E320" s="43">
        <v>1750</v>
      </c>
      <c r="F320" s="24">
        <f>SUM(B320:E320)</f>
        <v>35858</v>
      </c>
      <c r="G320" s="29">
        <v>20712</v>
      </c>
      <c r="H320" s="29">
        <f>11985+79</f>
        <v>12064</v>
      </c>
      <c r="I320" s="29"/>
      <c r="J320" s="29">
        <f>1829-79</f>
        <v>1750</v>
      </c>
      <c r="K320" s="24">
        <f>SUM(G320:J320)</f>
        <v>34526</v>
      </c>
      <c r="L320" s="25">
        <f t="shared" ref="L320:M322" si="151">+B320-G320</f>
        <v>65</v>
      </c>
      <c r="M320" s="25">
        <f t="shared" si="151"/>
        <v>1267</v>
      </c>
      <c r="N320" s="25"/>
      <c r="O320" s="25">
        <f>+E320-J320</f>
        <v>0</v>
      </c>
      <c r="P320" s="26">
        <f>SUM(L320:O320)</f>
        <v>1332</v>
      </c>
      <c r="Q320" s="18"/>
    </row>
    <row r="321" spans="1:17" ht="12.75" customHeight="1">
      <c r="A321" s="22" t="s">
        <v>17</v>
      </c>
      <c r="B321" s="25">
        <v>1588</v>
      </c>
      <c r="C321" s="25"/>
      <c r="D321" s="25"/>
      <c r="E321" s="43"/>
      <c r="F321" s="24">
        <f>SUM(B321:E321)</f>
        <v>1588</v>
      </c>
      <c r="G321" s="29">
        <v>1578</v>
      </c>
      <c r="H321" s="34"/>
      <c r="I321" s="34"/>
      <c r="J321" s="34"/>
      <c r="K321" s="24">
        <f>SUM(G321:J321)</f>
        <v>1578</v>
      </c>
      <c r="L321" s="25">
        <f t="shared" si="151"/>
        <v>10</v>
      </c>
      <c r="M321" s="25">
        <f t="shared" si="151"/>
        <v>0</v>
      </c>
      <c r="N321" s="25"/>
      <c r="O321" s="25">
        <f>+E321-J321</f>
        <v>0</v>
      </c>
      <c r="P321" s="26">
        <f>SUM(L321:O321)</f>
        <v>10</v>
      </c>
      <c r="Q321" s="18"/>
    </row>
    <row r="322" spans="1:17" ht="12.75" customHeight="1">
      <c r="A322" s="22" t="s">
        <v>18</v>
      </c>
      <c r="B322" s="25">
        <v>2019</v>
      </c>
      <c r="C322" s="25"/>
      <c r="D322" s="25"/>
      <c r="E322" s="43"/>
      <c r="F322" s="24">
        <f>SUM(B322:E322)</f>
        <v>2019</v>
      </c>
      <c r="G322" s="29">
        <v>1845</v>
      </c>
      <c r="H322" s="34"/>
      <c r="I322" s="34"/>
      <c r="J322" s="34"/>
      <c r="K322" s="24">
        <f>SUM(G322:J322)</f>
        <v>1845</v>
      </c>
      <c r="L322" s="25">
        <f t="shared" si="151"/>
        <v>174</v>
      </c>
      <c r="M322" s="25">
        <f t="shared" si="151"/>
        <v>0</v>
      </c>
      <c r="N322" s="25"/>
      <c r="O322" s="25">
        <f>+E322-J322</f>
        <v>0</v>
      </c>
      <c r="P322" s="26">
        <f>SUM(L322:O322)</f>
        <v>174</v>
      </c>
      <c r="Q322" s="18"/>
    </row>
    <row r="323" spans="1:17" ht="12.75" customHeight="1">
      <c r="A323" s="22" t="s">
        <v>19</v>
      </c>
      <c r="B323" s="44">
        <f t="shared" ref="B323:K323" si="152">+B324+B325</f>
        <v>0</v>
      </c>
      <c r="C323" s="44">
        <f t="shared" si="152"/>
        <v>369</v>
      </c>
      <c r="D323" s="44">
        <f t="shared" si="152"/>
        <v>0</v>
      </c>
      <c r="E323" s="44">
        <f t="shared" si="152"/>
        <v>380</v>
      </c>
      <c r="F323" s="44">
        <f t="shared" si="152"/>
        <v>749</v>
      </c>
      <c r="G323" s="44">
        <f t="shared" si="152"/>
        <v>0</v>
      </c>
      <c r="H323" s="44">
        <f t="shared" si="152"/>
        <v>369</v>
      </c>
      <c r="I323" s="44">
        <f t="shared" si="152"/>
        <v>0</v>
      </c>
      <c r="J323" s="44">
        <f t="shared" si="152"/>
        <v>380</v>
      </c>
      <c r="K323" s="44">
        <f t="shared" si="152"/>
        <v>749</v>
      </c>
      <c r="L323" s="44">
        <f>+L324+L325</f>
        <v>0</v>
      </c>
      <c r="M323" s="44">
        <f>+M324+M325</f>
        <v>0</v>
      </c>
      <c r="N323" s="44"/>
      <c r="O323" s="44">
        <f>+O324+O325</f>
        <v>0</v>
      </c>
      <c r="P323" s="45">
        <f>+P324+P325</f>
        <v>0</v>
      </c>
      <c r="Q323" s="18"/>
    </row>
    <row r="324" spans="1:17" ht="12.75" customHeight="1">
      <c r="A324" s="23" t="s">
        <v>20</v>
      </c>
      <c r="B324" s="25"/>
      <c r="C324" s="25">
        <f>749-380</f>
        <v>369</v>
      </c>
      <c r="D324" s="25"/>
      <c r="E324" s="43">
        <v>380</v>
      </c>
      <c r="F324" s="24">
        <f>SUM(B324:E324)</f>
        <v>749</v>
      </c>
      <c r="G324" s="29"/>
      <c r="H324" s="24">
        <v>369</v>
      </c>
      <c r="I324" s="24"/>
      <c r="J324" s="29">
        <v>380</v>
      </c>
      <c r="K324" s="24">
        <f>SUM(G324:J324)</f>
        <v>749</v>
      </c>
      <c r="L324" s="25">
        <f>+B324-G324</f>
        <v>0</v>
      </c>
      <c r="M324" s="25">
        <f>+C324-H324</f>
        <v>0</v>
      </c>
      <c r="N324" s="25"/>
      <c r="O324" s="25">
        <f>+E324-J324</f>
        <v>0</v>
      </c>
      <c r="P324" s="26">
        <f>SUM(L324:O324)</f>
        <v>0</v>
      </c>
      <c r="Q324" s="18"/>
    </row>
    <row r="325" spans="1:17" ht="12.75" customHeight="1">
      <c r="A325" s="23" t="s">
        <v>21</v>
      </c>
      <c r="B325" s="25"/>
      <c r="C325" s="25"/>
      <c r="D325" s="25"/>
      <c r="E325" s="43"/>
      <c r="F325" s="24">
        <f>SUM(B325:E325)</f>
        <v>0</v>
      </c>
      <c r="G325" s="29"/>
      <c r="H325" s="29"/>
      <c r="I325" s="29"/>
      <c r="J325" s="29"/>
      <c r="K325" s="24">
        <f>SUM(G325:J325)</f>
        <v>0</v>
      </c>
      <c r="L325" s="25">
        <f>+B325-G325</f>
        <v>0</v>
      </c>
      <c r="M325" s="25">
        <f>+C325-H325</f>
        <v>0</v>
      </c>
      <c r="N325" s="25"/>
      <c r="O325" s="25">
        <f>+E325-J325</f>
        <v>0</v>
      </c>
      <c r="P325" s="26">
        <f>SUM(L325:O325)</f>
        <v>0</v>
      </c>
      <c r="Q325" s="18"/>
    </row>
    <row r="326" spans="1:17" ht="12.75" customHeight="1">
      <c r="A326" s="22"/>
      <c r="B326" s="24"/>
      <c r="C326" s="24"/>
      <c r="D326" s="24"/>
      <c r="E326" s="26"/>
      <c r="F326" s="24"/>
      <c r="G326" s="32"/>
      <c r="H326" s="32"/>
      <c r="I326" s="32"/>
      <c r="J326" s="32"/>
      <c r="K326" s="32"/>
      <c r="L326" s="24"/>
      <c r="M326" s="24"/>
      <c r="N326" s="24"/>
      <c r="O326" s="24"/>
      <c r="P326" s="26"/>
      <c r="Q326" s="18"/>
    </row>
    <row r="327" spans="1:17" ht="12.75" customHeight="1">
      <c r="A327" s="42" t="s">
        <v>201</v>
      </c>
      <c r="B327" s="17">
        <f t="shared" ref="B327:K327" si="153">+B328+B332</f>
        <v>208210</v>
      </c>
      <c r="C327" s="17">
        <f t="shared" si="153"/>
        <v>153363</v>
      </c>
      <c r="D327" s="17">
        <f t="shared" si="153"/>
        <v>0</v>
      </c>
      <c r="E327" s="17">
        <f t="shared" si="153"/>
        <v>1763</v>
      </c>
      <c r="F327" s="17">
        <f t="shared" si="153"/>
        <v>363336</v>
      </c>
      <c r="G327" s="17">
        <f t="shared" si="153"/>
        <v>207926</v>
      </c>
      <c r="H327" s="17">
        <f t="shared" si="153"/>
        <v>109023</v>
      </c>
      <c r="I327" s="17">
        <f t="shared" si="153"/>
        <v>0</v>
      </c>
      <c r="J327" s="17">
        <f t="shared" si="153"/>
        <v>0</v>
      </c>
      <c r="K327" s="17">
        <f t="shared" si="153"/>
        <v>316949</v>
      </c>
      <c r="L327" s="17">
        <f>+L328+L332</f>
        <v>284</v>
      </c>
      <c r="M327" s="17">
        <f>+M328+M332</f>
        <v>44340</v>
      </c>
      <c r="N327" s="17"/>
      <c r="O327" s="17">
        <f>+O328+O332</f>
        <v>1763</v>
      </c>
      <c r="P327" s="17">
        <f>+P328+P332</f>
        <v>46387</v>
      </c>
      <c r="Q327" s="18">
        <f>+K327/F327</f>
        <v>0.8723302948235242</v>
      </c>
    </row>
    <row r="328" spans="1:17" ht="12.75" customHeight="1">
      <c r="A328" s="41" t="s">
        <v>15</v>
      </c>
      <c r="B328" s="62">
        <f t="shared" ref="B328:K328" si="154">+B329+B330+B331</f>
        <v>208210</v>
      </c>
      <c r="C328" s="62">
        <f t="shared" si="154"/>
        <v>139769</v>
      </c>
      <c r="D328" s="62">
        <f t="shared" si="154"/>
        <v>0</v>
      </c>
      <c r="E328" s="62">
        <f t="shared" si="154"/>
        <v>0</v>
      </c>
      <c r="F328" s="62">
        <f t="shared" si="154"/>
        <v>347979</v>
      </c>
      <c r="G328" s="62">
        <f t="shared" si="154"/>
        <v>207926</v>
      </c>
      <c r="H328" s="62">
        <f t="shared" si="154"/>
        <v>109023</v>
      </c>
      <c r="I328" s="62">
        <f t="shared" si="154"/>
        <v>0</v>
      </c>
      <c r="J328" s="62">
        <f t="shared" si="154"/>
        <v>0</v>
      </c>
      <c r="K328" s="62">
        <f t="shared" si="154"/>
        <v>316949</v>
      </c>
      <c r="L328" s="62">
        <f>+L329+L330+L331</f>
        <v>284</v>
      </c>
      <c r="M328" s="62">
        <f>+M329+M330+M331</f>
        <v>30746</v>
      </c>
      <c r="N328" s="62"/>
      <c r="O328" s="62">
        <f>+O329+O330+O331</f>
        <v>0</v>
      </c>
      <c r="P328" s="17">
        <f>+P329+P330+P331</f>
        <v>31030</v>
      </c>
      <c r="Q328" s="18"/>
    </row>
    <row r="329" spans="1:17" ht="12.75" customHeight="1">
      <c r="A329" s="22" t="s">
        <v>16</v>
      </c>
      <c r="B329" s="25">
        <v>170182</v>
      </c>
      <c r="C329" s="25">
        <v>131225</v>
      </c>
      <c r="D329" s="25"/>
      <c r="E329" s="43"/>
      <c r="F329" s="24">
        <f>SUM(B329:E329)</f>
        <v>301407</v>
      </c>
      <c r="G329" s="29">
        <f>176308-6126</f>
        <v>170182</v>
      </c>
      <c r="H329" s="29">
        <f>94352+1+6126</f>
        <v>100479</v>
      </c>
      <c r="I329" s="29">
        <f>1-1</f>
        <v>0</v>
      </c>
      <c r="J329" s="29"/>
      <c r="K329" s="24">
        <f>SUM(G329:J329)</f>
        <v>270661</v>
      </c>
      <c r="L329" s="25">
        <f t="shared" ref="L329:M331" si="155">+B329-G329</f>
        <v>0</v>
      </c>
      <c r="M329" s="25">
        <f t="shared" si="155"/>
        <v>30746</v>
      </c>
      <c r="N329" s="25"/>
      <c r="O329" s="25">
        <f>+E329-J329</f>
        <v>0</v>
      </c>
      <c r="P329" s="26">
        <f>SUM(L329:O329)</f>
        <v>30746</v>
      </c>
      <c r="Q329" s="18"/>
    </row>
    <row r="330" spans="1:17" ht="12.75" customHeight="1">
      <c r="A330" s="22" t="s">
        <v>17</v>
      </c>
      <c r="B330" s="25">
        <v>22426</v>
      </c>
      <c r="C330" s="25"/>
      <c r="D330" s="25"/>
      <c r="E330" s="43"/>
      <c r="F330" s="24">
        <f>SUM(B330:E330)</f>
        <v>22426</v>
      </c>
      <c r="G330" s="29">
        <v>22426</v>
      </c>
      <c r="H330" s="34"/>
      <c r="I330" s="34"/>
      <c r="J330" s="34"/>
      <c r="K330" s="24">
        <f>SUM(G330:J330)</f>
        <v>22426</v>
      </c>
      <c r="L330" s="25">
        <f t="shared" si="155"/>
        <v>0</v>
      </c>
      <c r="M330" s="25">
        <f t="shared" si="155"/>
        <v>0</v>
      </c>
      <c r="N330" s="25"/>
      <c r="O330" s="25">
        <f>+E330-J330</f>
        <v>0</v>
      </c>
      <c r="P330" s="26">
        <f>SUM(L330:O330)</f>
        <v>0</v>
      </c>
      <c r="Q330" s="18"/>
    </row>
    <row r="331" spans="1:17" ht="12.75" customHeight="1">
      <c r="A331" s="22" t="s">
        <v>18</v>
      </c>
      <c r="B331" s="25">
        <v>15602</v>
      </c>
      <c r="C331" s="25">
        <v>8544</v>
      </c>
      <c r="D331" s="25"/>
      <c r="E331" s="43"/>
      <c r="F331" s="24">
        <f>SUM(B331:E331)</f>
        <v>24146</v>
      </c>
      <c r="G331" s="29">
        <v>15318</v>
      </c>
      <c r="H331" s="29">
        <v>8544</v>
      </c>
      <c r="I331" s="29"/>
      <c r="J331" s="34"/>
      <c r="K331" s="24">
        <f>SUM(G331:J331)</f>
        <v>23862</v>
      </c>
      <c r="L331" s="25">
        <f t="shared" si="155"/>
        <v>284</v>
      </c>
      <c r="M331" s="25">
        <f t="shared" si="155"/>
        <v>0</v>
      </c>
      <c r="N331" s="25"/>
      <c r="O331" s="25">
        <f>+E331-J331</f>
        <v>0</v>
      </c>
      <c r="P331" s="26">
        <f>SUM(L331:O331)</f>
        <v>284</v>
      </c>
      <c r="Q331" s="18"/>
    </row>
    <row r="332" spans="1:17" ht="12.75" customHeight="1">
      <c r="A332" s="22" t="s">
        <v>19</v>
      </c>
      <c r="B332" s="44">
        <f t="shared" ref="B332:K332" si="156">+B333+B334</f>
        <v>0</v>
      </c>
      <c r="C332" s="44">
        <f t="shared" si="156"/>
        <v>13594</v>
      </c>
      <c r="D332" s="44">
        <f t="shared" si="156"/>
        <v>0</v>
      </c>
      <c r="E332" s="44">
        <f t="shared" si="156"/>
        <v>1763</v>
      </c>
      <c r="F332" s="44">
        <f t="shared" si="156"/>
        <v>15357</v>
      </c>
      <c r="G332" s="44">
        <f t="shared" si="156"/>
        <v>0</v>
      </c>
      <c r="H332" s="44">
        <f t="shared" si="156"/>
        <v>0</v>
      </c>
      <c r="I332" s="44">
        <f t="shared" si="156"/>
        <v>0</v>
      </c>
      <c r="J332" s="44">
        <f t="shared" si="156"/>
        <v>0</v>
      </c>
      <c r="K332" s="44">
        <f t="shared" si="156"/>
        <v>0</v>
      </c>
      <c r="L332" s="44">
        <f>+L333+L334</f>
        <v>0</v>
      </c>
      <c r="M332" s="44">
        <f>+M333+M334</f>
        <v>13594</v>
      </c>
      <c r="N332" s="44"/>
      <c r="O332" s="44">
        <f>+O333+O334</f>
        <v>1763</v>
      </c>
      <c r="P332" s="45">
        <f>+P333+P334</f>
        <v>15357</v>
      </c>
      <c r="Q332" s="18"/>
    </row>
    <row r="333" spans="1:17" ht="12.75" customHeight="1">
      <c r="A333" s="23" t="s">
        <v>20</v>
      </c>
      <c r="B333" s="25"/>
      <c r="C333" s="25">
        <v>13594</v>
      </c>
      <c r="D333" s="25"/>
      <c r="E333" s="43">
        <v>1763</v>
      </c>
      <c r="F333" s="24">
        <f>SUM(B333:E333)</f>
        <v>15357</v>
      </c>
      <c r="G333" s="29"/>
      <c r="H333" s="29"/>
      <c r="I333" s="29"/>
      <c r="J333" s="29"/>
      <c r="K333" s="24">
        <f>SUM(G333:J333)</f>
        <v>0</v>
      </c>
      <c r="L333" s="25">
        <f>+B333-G333</f>
        <v>0</v>
      </c>
      <c r="M333" s="25">
        <f>+C333-H333</f>
        <v>13594</v>
      </c>
      <c r="N333" s="25"/>
      <c r="O333" s="25">
        <f>+E333-J333</f>
        <v>1763</v>
      </c>
      <c r="P333" s="26">
        <f>SUM(L333:O333)</f>
        <v>15357</v>
      </c>
      <c r="Q333" s="18"/>
    </row>
    <row r="334" spans="1:17" ht="12.75" customHeight="1">
      <c r="A334" s="23" t="s">
        <v>21</v>
      </c>
      <c r="B334" s="25"/>
      <c r="C334" s="25"/>
      <c r="D334" s="25"/>
      <c r="E334" s="43"/>
      <c r="F334" s="24">
        <f>SUM(B334:E334)</f>
        <v>0</v>
      </c>
      <c r="G334" s="29"/>
      <c r="H334" s="29"/>
      <c r="I334" s="29"/>
      <c r="J334" s="29"/>
      <c r="K334" s="24">
        <f>SUM(G334:J334)</f>
        <v>0</v>
      </c>
      <c r="L334" s="25">
        <f>+B334-G334</f>
        <v>0</v>
      </c>
      <c r="M334" s="25">
        <f>+C334-H334</f>
        <v>0</v>
      </c>
      <c r="N334" s="25"/>
      <c r="O334" s="25">
        <f>+E334-J334</f>
        <v>0</v>
      </c>
      <c r="P334" s="26">
        <f>SUM(L334:O334)</f>
        <v>0</v>
      </c>
      <c r="Q334" s="18"/>
    </row>
    <row r="335" spans="1:17" ht="12.75" customHeight="1">
      <c r="A335" s="65"/>
      <c r="B335" s="77"/>
      <c r="C335" s="77"/>
      <c r="D335" s="77"/>
      <c r="E335" s="75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5"/>
      <c r="Q335" s="76"/>
    </row>
    <row r="336" spans="1:17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  <row r="1128" spans="1:1">
      <c r="A1128" s="80"/>
    </row>
    <row r="1129" spans="1:1">
      <c r="A1129" s="80"/>
    </row>
    <row r="1130" spans="1:1">
      <c r="A1130" s="80"/>
    </row>
    <row r="1131" spans="1:1">
      <c r="A1131" s="80"/>
    </row>
    <row r="1132" spans="1:1">
      <c r="A1132" s="80"/>
    </row>
    <row r="1133" spans="1:1">
      <c r="A1133" s="80"/>
    </row>
    <row r="1134" spans="1:1">
      <c r="A1134" s="80"/>
    </row>
    <row r="1135" spans="1:1">
      <c r="A1135" s="80"/>
    </row>
    <row r="1136" spans="1:1">
      <c r="A1136" s="80"/>
    </row>
    <row r="1137" spans="1:1">
      <c r="A1137" s="80"/>
    </row>
    <row r="1138" spans="1:1">
      <c r="A1138" s="80"/>
    </row>
    <row r="1139" spans="1:1">
      <c r="A1139" s="80"/>
    </row>
    <row r="1140" spans="1:1">
      <c r="A1140" s="80"/>
    </row>
    <row r="1141" spans="1:1">
      <c r="A1141" s="80"/>
    </row>
    <row r="1142" spans="1:1">
      <c r="A1142" s="80"/>
    </row>
    <row r="1143" spans="1:1">
      <c r="A1143" s="80"/>
    </row>
    <row r="1144" spans="1:1">
      <c r="A1144" s="80"/>
    </row>
    <row r="1145" spans="1:1">
      <c r="A1145" s="80"/>
    </row>
    <row r="1146" spans="1:1">
      <c r="A1146" s="80"/>
    </row>
    <row r="1147" spans="1:1">
      <c r="A1147" s="80"/>
    </row>
    <row r="1148" spans="1:1">
      <c r="A1148" s="80"/>
    </row>
    <row r="1149" spans="1:1">
      <c r="A1149" s="80"/>
    </row>
    <row r="1150" spans="1:1">
      <c r="A1150" s="80"/>
    </row>
    <row r="1151" spans="1:1">
      <c r="A1151" s="80"/>
    </row>
    <row r="1152" spans="1:1">
      <c r="A1152" s="80"/>
    </row>
    <row r="1153" spans="1:1">
      <c r="A1153" s="80"/>
    </row>
    <row r="1154" spans="1:1">
      <c r="A1154" s="80"/>
    </row>
    <row r="1155" spans="1:1">
      <c r="A1155" s="80"/>
    </row>
    <row r="1156" spans="1:1">
      <c r="A1156" s="80"/>
    </row>
    <row r="1157" spans="1:1">
      <c r="A1157" s="80"/>
    </row>
    <row r="1158" spans="1:1">
      <c r="A1158" s="80"/>
    </row>
    <row r="1159" spans="1:1">
      <c r="A1159" s="80"/>
    </row>
    <row r="1160" spans="1:1">
      <c r="A1160" s="80"/>
    </row>
    <row r="1161" spans="1:1">
      <c r="A1161" s="80"/>
    </row>
    <row r="1162" spans="1:1">
      <c r="A1162" s="80"/>
    </row>
    <row r="1163" spans="1:1">
      <c r="A1163" s="80"/>
    </row>
    <row r="1164" spans="1:1">
      <c r="A1164" s="80"/>
    </row>
    <row r="1165" spans="1:1">
      <c r="A1165" s="80"/>
    </row>
    <row r="1166" spans="1:1">
      <c r="A1166" s="80"/>
    </row>
    <row r="1167" spans="1:1">
      <c r="A1167" s="80"/>
    </row>
    <row r="1168" spans="1:1">
      <c r="A1168" s="80"/>
    </row>
    <row r="1169" spans="1:1">
      <c r="A1169" s="80"/>
    </row>
    <row r="1170" spans="1:1">
      <c r="A1170" s="80"/>
    </row>
    <row r="1171" spans="1:1">
      <c r="A1171" s="80"/>
    </row>
    <row r="1172" spans="1:1">
      <c r="A1172" s="80"/>
    </row>
    <row r="1173" spans="1:1">
      <c r="A1173" s="80"/>
    </row>
    <row r="1174" spans="1:1">
      <c r="A1174" s="80"/>
    </row>
    <row r="1175" spans="1:1">
      <c r="A1175" s="80"/>
    </row>
    <row r="1176" spans="1:1">
      <c r="A1176" s="80"/>
    </row>
    <row r="1177" spans="1:1">
      <c r="A1177" s="80"/>
    </row>
    <row r="1178" spans="1:1">
      <c r="A1178" s="80"/>
    </row>
    <row r="1179" spans="1:1">
      <c r="A1179" s="80"/>
    </row>
    <row r="1180" spans="1:1">
      <c r="A1180" s="80"/>
    </row>
    <row r="1181" spans="1:1">
      <c r="A1181" s="80"/>
    </row>
    <row r="1182" spans="1:1">
      <c r="A1182" s="80"/>
    </row>
    <row r="1183" spans="1:1">
      <c r="A1183" s="80"/>
    </row>
    <row r="1184" spans="1:1">
      <c r="A1184" s="80"/>
    </row>
    <row r="1185" spans="1:1">
      <c r="A1185" s="80"/>
    </row>
    <row r="1186" spans="1:1">
      <c r="A1186" s="80"/>
    </row>
    <row r="1187" spans="1:1">
      <c r="A1187" s="80"/>
    </row>
    <row r="1188" spans="1:1">
      <c r="A1188" s="80"/>
    </row>
    <row r="1189" spans="1:1">
      <c r="A1189" s="80"/>
    </row>
    <row r="1190" spans="1:1">
      <c r="A1190" s="80"/>
    </row>
    <row r="1191" spans="1:1">
      <c r="A1191" s="80"/>
    </row>
    <row r="1192" spans="1:1">
      <c r="A1192" s="80"/>
    </row>
    <row r="1193" spans="1:1">
      <c r="A1193" s="80"/>
    </row>
    <row r="1194" spans="1:1">
      <c r="A1194" s="80"/>
    </row>
    <row r="1195" spans="1:1">
      <c r="A1195" s="80"/>
    </row>
    <row r="1196" spans="1:1">
      <c r="A1196" s="80"/>
    </row>
    <row r="1197" spans="1:1">
      <c r="A1197" s="80"/>
    </row>
    <row r="1198" spans="1:1">
      <c r="A1198" s="80"/>
    </row>
    <row r="1199" spans="1:1">
      <c r="A1199" s="80"/>
    </row>
    <row r="1200" spans="1:1">
      <c r="A1200" s="80"/>
    </row>
    <row r="1201" spans="1:1">
      <c r="A1201" s="80"/>
    </row>
    <row r="1202" spans="1:1">
      <c r="A1202" s="80"/>
    </row>
    <row r="1203" spans="1:1">
      <c r="A1203" s="80"/>
    </row>
    <row r="1204" spans="1:1">
      <c r="A1204" s="80"/>
    </row>
    <row r="1205" spans="1:1">
      <c r="A1205" s="80"/>
    </row>
    <row r="1206" spans="1:1">
      <c r="A1206" s="80"/>
    </row>
    <row r="1207" spans="1:1">
      <c r="A1207" s="80"/>
    </row>
    <row r="1208" spans="1:1">
      <c r="A1208" s="80"/>
    </row>
    <row r="1209" spans="1:1">
      <c r="A1209" s="80"/>
    </row>
    <row r="1210" spans="1:1">
      <c r="A1210" s="80"/>
    </row>
    <row r="1211" spans="1:1">
      <c r="A1211" s="80"/>
    </row>
    <row r="1212" spans="1:1">
      <c r="A1212" s="80"/>
    </row>
    <row r="1213" spans="1:1">
      <c r="A1213" s="80"/>
    </row>
    <row r="1214" spans="1:1">
      <c r="A1214" s="80"/>
    </row>
    <row r="1215" spans="1:1">
      <c r="A1215" s="80"/>
    </row>
    <row r="1216" spans="1:1">
      <c r="A1216" s="80"/>
    </row>
    <row r="1217" spans="1:1">
      <c r="A1217" s="80"/>
    </row>
    <row r="1218" spans="1:1">
      <c r="A1218" s="80"/>
    </row>
    <row r="1219" spans="1:1">
      <c r="A1219" s="80"/>
    </row>
    <row r="1220" spans="1:1">
      <c r="A1220" s="80"/>
    </row>
    <row r="1221" spans="1:1">
      <c r="A1221" s="80"/>
    </row>
    <row r="1222" spans="1:1">
      <c r="A1222" s="80"/>
    </row>
    <row r="1223" spans="1:1">
      <c r="A1223" s="80"/>
    </row>
    <row r="1224" spans="1:1">
      <c r="A1224" s="80"/>
    </row>
    <row r="1225" spans="1:1">
      <c r="A1225" s="80"/>
    </row>
    <row r="1226" spans="1:1">
      <c r="A1226" s="80"/>
    </row>
    <row r="1227" spans="1:1">
      <c r="A1227" s="80"/>
    </row>
    <row r="1228" spans="1:1">
      <c r="A1228" s="80"/>
    </row>
    <row r="1229" spans="1:1">
      <c r="A1229" s="80"/>
    </row>
    <row r="1230" spans="1:1">
      <c r="A1230" s="80"/>
    </row>
    <row r="1231" spans="1:1">
      <c r="A1231" s="80"/>
    </row>
    <row r="1232" spans="1:1">
      <c r="A1232" s="80"/>
    </row>
    <row r="1233" spans="1:1">
      <c r="A1233" s="80"/>
    </row>
    <row r="1234" spans="1:1">
      <c r="A1234" s="80"/>
    </row>
    <row r="1235" spans="1:1">
      <c r="A1235" s="80"/>
    </row>
    <row r="1236" spans="1:1">
      <c r="A1236" s="80"/>
    </row>
    <row r="1237" spans="1:1">
      <c r="A1237" s="80"/>
    </row>
    <row r="1238" spans="1:1">
      <c r="A1238" s="80"/>
    </row>
    <row r="1239" spans="1:1">
      <c r="A1239" s="80"/>
    </row>
    <row r="1240" spans="1:1">
      <c r="A1240" s="80"/>
    </row>
    <row r="1241" spans="1:1">
      <c r="A1241" s="80"/>
    </row>
    <row r="1242" spans="1:1">
      <c r="A1242" s="80"/>
    </row>
    <row r="1243" spans="1:1">
      <c r="A1243" s="80"/>
    </row>
    <row r="1244" spans="1:1">
      <c r="A1244" s="80"/>
    </row>
    <row r="1245" spans="1:1">
      <c r="A1245" s="80"/>
    </row>
    <row r="1246" spans="1:1">
      <c r="A1246" s="80"/>
    </row>
    <row r="1247" spans="1:1">
      <c r="A1247" s="80"/>
    </row>
    <row r="1248" spans="1:1">
      <c r="A1248" s="80"/>
    </row>
    <row r="1249" spans="1:1">
      <c r="A1249" s="80"/>
    </row>
    <row r="1250" spans="1:1">
      <c r="A1250" s="80"/>
    </row>
    <row r="1251" spans="1:1">
      <c r="A1251" s="80"/>
    </row>
    <row r="1252" spans="1:1">
      <c r="A1252" s="80"/>
    </row>
    <row r="1253" spans="1:1">
      <c r="A1253" s="80"/>
    </row>
    <row r="1254" spans="1:1">
      <c r="A1254" s="80"/>
    </row>
    <row r="1255" spans="1:1">
      <c r="A1255" s="80"/>
    </row>
    <row r="1256" spans="1:1">
      <c r="A1256" s="80"/>
    </row>
    <row r="1257" spans="1:1">
      <c r="A1257" s="80"/>
    </row>
    <row r="1258" spans="1:1">
      <c r="A1258" s="80"/>
    </row>
    <row r="1259" spans="1:1">
      <c r="A1259" s="80"/>
    </row>
    <row r="1260" spans="1:1">
      <c r="A1260" s="80"/>
    </row>
    <row r="1261" spans="1:1">
      <c r="A1261" s="80"/>
    </row>
    <row r="1262" spans="1:1">
      <c r="A1262" s="80"/>
    </row>
    <row r="1263" spans="1:1">
      <c r="A1263" s="80"/>
    </row>
    <row r="1264" spans="1:1">
      <c r="A1264" s="80"/>
    </row>
    <row r="1265" spans="1:1">
      <c r="A1265" s="80"/>
    </row>
    <row r="1266" spans="1:1">
      <c r="A1266" s="80"/>
    </row>
    <row r="1267" spans="1:1">
      <c r="A1267" s="80"/>
    </row>
    <row r="1268" spans="1:1">
      <c r="A1268" s="80"/>
    </row>
    <row r="1269" spans="1:1">
      <c r="A1269" s="80"/>
    </row>
    <row r="1270" spans="1:1">
      <c r="A1270" s="80"/>
    </row>
    <row r="1271" spans="1:1">
      <c r="A1271" s="80"/>
    </row>
    <row r="1272" spans="1:1">
      <c r="A1272" s="80"/>
    </row>
    <row r="1273" spans="1:1">
      <c r="A1273" s="80"/>
    </row>
    <row r="1274" spans="1:1">
      <c r="A1274" s="80"/>
    </row>
    <row r="1275" spans="1:1">
      <c r="A1275" s="80"/>
    </row>
    <row r="1276" spans="1:1">
      <c r="A1276" s="80"/>
    </row>
    <row r="1277" spans="1:1">
      <c r="A1277" s="80"/>
    </row>
    <row r="1278" spans="1:1">
      <c r="A1278" s="80"/>
    </row>
    <row r="1279" spans="1:1">
      <c r="A1279" s="80"/>
    </row>
    <row r="1280" spans="1:1">
      <c r="A1280" s="80"/>
    </row>
    <row r="1281" spans="1:1">
      <c r="A1281" s="80"/>
    </row>
    <row r="1282" spans="1:1">
      <c r="A1282" s="80"/>
    </row>
    <row r="1283" spans="1:1">
      <c r="A1283" s="80"/>
    </row>
    <row r="1284" spans="1:1">
      <c r="A1284" s="80"/>
    </row>
    <row r="1285" spans="1:1">
      <c r="A1285" s="80"/>
    </row>
    <row r="1286" spans="1:1">
      <c r="A1286" s="80"/>
    </row>
    <row r="1287" spans="1:1">
      <c r="A1287" s="80"/>
    </row>
    <row r="1288" spans="1:1">
      <c r="A1288" s="80"/>
    </row>
    <row r="1289" spans="1:1">
      <c r="A1289" s="80"/>
    </row>
    <row r="1290" spans="1:1">
      <c r="A1290" s="80"/>
    </row>
    <row r="1291" spans="1:1">
      <c r="A1291" s="80"/>
    </row>
    <row r="1292" spans="1:1">
      <c r="A1292" s="80"/>
    </row>
    <row r="1293" spans="1:1">
      <c r="A1293" s="80"/>
    </row>
    <row r="1294" spans="1:1">
      <c r="A1294" s="80"/>
    </row>
    <row r="1295" spans="1:1">
      <c r="A1295" s="80"/>
    </row>
    <row r="1296" spans="1:1">
      <c r="A1296" s="80"/>
    </row>
    <row r="1297" spans="1:1">
      <c r="A1297" s="80"/>
    </row>
    <row r="1298" spans="1:1">
      <c r="A1298" s="80"/>
    </row>
    <row r="1299" spans="1:1">
      <c r="A1299" s="80"/>
    </row>
    <row r="1300" spans="1:1">
      <c r="A1300" s="80"/>
    </row>
    <row r="1301" spans="1:1">
      <c r="A1301" s="80"/>
    </row>
    <row r="1302" spans="1:1">
      <c r="A1302" s="80"/>
    </row>
    <row r="1303" spans="1:1">
      <c r="A1303" s="80"/>
    </row>
    <row r="1304" spans="1:1">
      <c r="A1304" s="80"/>
    </row>
    <row r="1305" spans="1:1">
      <c r="A1305" s="80"/>
    </row>
    <row r="1306" spans="1:1">
      <c r="A1306" s="80"/>
    </row>
    <row r="1307" spans="1:1">
      <c r="A1307" s="80"/>
    </row>
    <row r="1308" spans="1:1">
      <c r="A1308" s="80"/>
    </row>
    <row r="1309" spans="1:1">
      <c r="A1309" s="80"/>
    </row>
    <row r="1310" spans="1:1">
      <c r="A1310" s="80"/>
    </row>
    <row r="1311" spans="1:1">
      <c r="A1311" s="80"/>
    </row>
    <row r="1312" spans="1:1">
      <c r="A1312" s="80"/>
    </row>
    <row r="1313" spans="1:1">
      <c r="A1313" s="80"/>
    </row>
    <row r="1314" spans="1:1">
      <c r="A1314" s="80"/>
    </row>
    <row r="1315" spans="1:1">
      <c r="A1315" s="80"/>
    </row>
    <row r="1316" spans="1:1">
      <c r="A1316" s="80"/>
    </row>
    <row r="1317" spans="1:1">
      <c r="A1317" s="80"/>
    </row>
    <row r="1318" spans="1:1">
      <c r="A1318" s="80"/>
    </row>
    <row r="1319" spans="1:1">
      <c r="A1319" s="80"/>
    </row>
    <row r="1320" spans="1:1">
      <c r="A1320" s="80"/>
    </row>
    <row r="1321" spans="1:1">
      <c r="A1321" s="80"/>
    </row>
    <row r="1322" spans="1:1">
      <c r="A1322" s="80"/>
    </row>
    <row r="1323" spans="1:1">
      <c r="A1323" s="80"/>
    </row>
    <row r="1324" spans="1:1">
      <c r="A1324" s="80"/>
    </row>
    <row r="1325" spans="1:1">
      <c r="A1325" s="80"/>
    </row>
    <row r="1326" spans="1:1">
      <c r="A1326" s="80"/>
    </row>
    <row r="1327" spans="1:1">
      <c r="A1327" s="80"/>
    </row>
    <row r="1328" spans="1:1">
      <c r="A1328" s="80"/>
    </row>
    <row r="1329" spans="1:1">
      <c r="A1329" s="80"/>
    </row>
    <row r="1330" spans="1:1">
      <c r="A1330" s="80"/>
    </row>
    <row r="1331" spans="1:1">
      <c r="A1331" s="80"/>
    </row>
    <row r="1332" spans="1:1">
      <c r="A1332" s="80"/>
    </row>
    <row r="1333" spans="1:1">
      <c r="A1333" s="80"/>
    </row>
    <row r="1334" spans="1:1">
      <c r="A1334" s="80"/>
    </row>
    <row r="1335" spans="1:1">
      <c r="A1335" s="80"/>
    </row>
    <row r="1336" spans="1:1">
      <c r="A1336" s="80"/>
    </row>
    <row r="1337" spans="1:1">
      <c r="A1337" s="80"/>
    </row>
    <row r="1338" spans="1:1">
      <c r="A1338" s="80"/>
    </row>
    <row r="1339" spans="1:1">
      <c r="A1339" s="80"/>
    </row>
    <row r="1340" spans="1:1">
      <c r="A1340" s="80"/>
    </row>
    <row r="1341" spans="1:1">
      <c r="A1341" s="80"/>
    </row>
    <row r="1342" spans="1:1">
      <c r="A1342" s="80"/>
    </row>
    <row r="1343" spans="1:1">
      <c r="A1343" s="80"/>
    </row>
    <row r="1344" spans="1:1">
      <c r="A1344" s="80"/>
    </row>
    <row r="1345" spans="1:1">
      <c r="A1345" s="80"/>
    </row>
    <row r="1346" spans="1:1">
      <c r="A1346" s="80"/>
    </row>
    <row r="1347" spans="1:1">
      <c r="A1347" s="80"/>
    </row>
    <row r="1348" spans="1:1">
      <c r="A1348" s="80"/>
    </row>
    <row r="1349" spans="1:1">
      <c r="A1349" s="80"/>
    </row>
    <row r="1350" spans="1:1">
      <c r="A1350" s="80"/>
    </row>
    <row r="1351" spans="1:1">
      <c r="A1351" s="80"/>
    </row>
    <row r="1352" spans="1:1">
      <c r="A1352" s="80"/>
    </row>
    <row r="1353" spans="1:1">
      <c r="A1353" s="80"/>
    </row>
    <row r="1354" spans="1:1">
      <c r="A1354" s="80"/>
    </row>
    <row r="1355" spans="1:1">
      <c r="A1355" s="80"/>
    </row>
    <row r="1356" spans="1:1">
      <c r="A1356" s="80"/>
    </row>
    <row r="1357" spans="1:1">
      <c r="A1357" s="80"/>
    </row>
    <row r="1358" spans="1:1">
      <c r="A1358" s="80"/>
    </row>
    <row r="1359" spans="1:1">
      <c r="A1359" s="80"/>
    </row>
    <row r="1360" spans="1:1">
      <c r="A1360" s="80"/>
    </row>
    <row r="1361" spans="1:1">
      <c r="A1361" s="80"/>
    </row>
    <row r="1362" spans="1:1">
      <c r="A1362" s="80"/>
    </row>
    <row r="1363" spans="1:1">
      <c r="A1363" s="80"/>
    </row>
    <row r="1364" spans="1:1">
      <c r="A1364" s="80"/>
    </row>
    <row r="1365" spans="1:1">
      <c r="A1365" s="80"/>
    </row>
    <row r="1366" spans="1:1">
      <c r="A1366" s="80"/>
    </row>
    <row r="1367" spans="1:1">
      <c r="A1367" s="80"/>
    </row>
    <row r="1368" spans="1:1">
      <c r="A1368" s="80"/>
    </row>
    <row r="1369" spans="1:1">
      <c r="A1369" s="80"/>
    </row>
    <row r="1370" spans="1:1">
      <c r="A1370" s="80"/>
    </row>
    <row r="1371" spans="1:1">
      <c r="A1371" s="80"/>
    </row>
    <row r="1372" spans="1:1">
      <c r="A1372" s="80"/>
    </row>
    <row r="1373" spans="1:1">
      <c r="A1373" s="80"/>
    </row>
    <row r="1374" spans="1:1">
      <c r="A1374" s="80"/>
    </row>
    <row r="1375" spans="1:1">
      <c r="A1375" s="80"/>
    </row>
    <row r="1376" spans="1:1">
      <c r="A1376" s="80"/>
    </row>
    <row r="1377" spans="1:1">
      <c r="A1377" s="80"/>
    </row>
    <row r="1378" spans="1:1">
      <c r="A1378" s="80"/>
    </row>
    <row r="1379" spans="1:1">
      <c r="A1379" s="80"/>
    </row>
    <row r="1380" spans="1:1">
      <c r="A1380" s="80"/>
    </row>
    <row r="1381" spans="1:1">
      <c r="A1381" s="80"/>
    </row>
    <row r="1382" spans="1:1">
      <c r="A1382" s="80"/>
    </row>
    <row r="1383" spans="1:1">
      <c r="A1383" s="80"/>
    </row>
    <row r="1384" spans="1:1">
      <c r="A1384" s="80"/>
    </row>
    <row r="1385" spans="1:1">
      <c r="A1385" s="80"/>
    </row>
    <row r="1386" spans="1:1">
      <c r="A1386" s="80"/>
    </row>
    <row r="1387" spans="1:1">
      <c r="A1387" s="80"/>
    </row>
    <row r="1388" spans="1:1">
      <c r="A1388" s="80"/>
    </row>
    <row r="1389" spans="1:1">
      <c r="A1389" s="80"/>
    </row>
    <row r="1390" spans="1:1">
      <c r="A1390" s="80"/>
    </row>
    <row r="1391" spans="1:1">
      <c r="A1391" s="80"/>
    </row>
    <row r="1392" spans="1:1">
      <c r="A1392" s="80"/>
    </row>
    <row r="1393" spans="1:1">
      <c r="A1393" s="80"/>
    </row>
    <row r="1394" spans="1:1">
      <c r="A1394" s="80"/>
    </row>
    <row r="1395" spans="1:1">
      <c r="A1395" s="80"/>
    </row>
    <row r="1396" spans="1:1">
      <c r="A1396" s="80"/>
    </row>
    <row r="1397" spans="1:1">
      <c r="A1397" s="80"/>
    </row>
    <row r="1398" spans="1:1">
      <c r="A1398" s="80"/>
    </row>
    <row r="1399" spans="1:1">
      <c r="A1399" s="80"/>
    </row>
    <row r="1400" spans="1:1">
      <c r="A1400" s="80"/>
    </row>
    <row r="1401" spans="1:1">
      <c r="A1401" s="80"/>
    </row>
    <row r="1402" spans="1:1">
      <c r="A1402" s="80"/>
    </row>
    <row r="1403" spans="1:1">
      <c r="A1403" s="80"/>
    </row>
    <row r="1404" spans="1:1">
      <c r="A1404" s="80"/>
    </row>
    <row r="1405" spans="1:1">
      <c r="A1405" s="80"/>
    </row>
    <row r="1406" spans="1:1">
      <c r="A1406" s="80"/>
    </row>
    <row r="1407" spans="1:1">
      <c r="A1407" s="80"/>
    </row>
    <row r="1408" spans="1:1">
      <c r="A1408" s="80"/>
    </row>
    <row r="1409" spans="1:1">
      <c r="A1409" s="80"/>
    </row>
    <row r="1410" spans="1:1">
      <c r="A1410" s="80"/>
    </row>
    <row r="1411" spans="1:1">
      <c r="A1411" s="80"/>
    </row>
    <row r="1412" spans="1:1">
      <c r="A1412" s="80"/>
    </row>
    <row r="1413" spans="1:1">
      <c r="A1413" s="80"/>
    </row>
    <row r="1414" spans="1:1">
      <c r="A1414" s="80"/>
    </row>
    <row r="1415" spans="1:1">
      <c r="A1415" s="80"/>
    </row>
    <row r="1416" spans="1:1">
      <c r="A1416" s="80"/>
    </row>
    <row r="1417" spans="1:1">
      <c r="A1417" s="80"/>
    </row>
    <row r="1418" spans="1:1">
      <c r="A1418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1"/>
  <pageSetup paperSize="9" scale="70" fitToWidth="0" fitToHeight="0" orientation="landscape" r:id="rId1"/>
  <headerFooter alignWithMargins="0">
    <oddFooter>Page &amp;P of &amp;N</oddFooter>
  </headerFooter>
  <rowBreaks count="6" manualBreakCount="6">
    <brk id="56" max="16" man="1"/>
    <brk id="101" max="16" man="1"/>
    <brk id="155" max="16" man="1"/>
    <brk id="209" max="16" man="1"/>
    <brk id="254" max="16" man="1"/>
    <brk id="299" max="1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R1095"/>
  <sheetViews>
    <sheetView showRuler="0" zoomScaleSheetLayoutView="100" workbookViewId="0">
      <pane xSplit="1" ySplit="8" topLeftCell="B9" activePane="bottomRight" state="frozen"/>
      <selection activeCell="A155" sqref="A155:Q155"/>
      <selection pane="topRight" activeCell="A155" sqref="A155:Q155"/>
      <selection pane="bottomLeft" activeCell="A155" sqref="A155:Q155"/>
      <selection pane="bottomRight" activeCell="A155" sqref="A155:Q155"/>
    </sheetView>
  </sheetViews>
  <sheetFormatPr defaultRowHeight="12.75"/>
  <cols>
    <col min="1" max="1" width="36.1406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72" t="s">
        <v>379</v>
      </c>
      <c r="B10" s="17">
        <f t="shared" ref="B10:F10" si="0">+B11+B15</f>
        <v>9881620</v>
      </c>
      <c r="C10" s="17">
        <f t="shared" si="0"/>
        <v>6579572</v>
      </c>
      <c r="D10" s="17">
        <f t="shared" si="0"/>
        <v>0</v>
      </c>
      <c r="E10" s="17">
        <f t="shared" si="0"/>
        <v>6214614</v>
      </c>
      <c r="F10" s="17">
        <f t="shared" si="0"/>
        <v>22675806</v>
      </c>
      <c r="G10" s="17">
        <f>+G11+G15</f>
        <v>9674540</v>
      </c>
      <c r="H10" s="17">
        <f>+H11+H15</f>
        <v>6372472</v>
      </c>
      <c r="I10" s="17"/>
      <c r="J10" s="17">
        <f>+J11+J15</f>
        <v>6132565</v>
      </c>
      <c r="K10" s="17">
        <f t="shared" ref="K10" si="1">+K11+K15</f>
        <v>22179577</v>
      </c>
      <c r="L10" s="17">
        <f>+L11+L15</f>
        <v>207080</v>
      </c>
      <c r="M10" s="17">
        <f>+M11+M15</f>
        <v>207100</v>
      </c>
      <c r="N10" s="17"/>
      <c r="O10" s="17">
        <f>+O11+O15</f>
        <v>82049</v>
      </c>
      <c r="P10" s="17">
        <f>+P11+P15</f>
        <v>496229</v>
      </c>
      <c r="Q10" s="18">
        <f>+K10/F10</f>
        <v>0.9781163677269068</v>
      </c>
    </row>
    <row r="11" spans="1:18" ht="12.75" customHeight="1">
      <c r="A11" s="41" t="s">
        <v>15</v>
      </c>
      <c r="B11" s="20">
        <f t="shared" ref="B11:J11" si="2">+B12+B13+B14</f>
        <v>9881620</v>
      </c>
      <c r="C11" s="20">
        <f t="shared" si="2"/>
        <v>5858183</v>
      </c>
      <c r="D11" s="20">
        <f t="shared" si="2"/>
        <v>0</v>
      </c>
      <c r="E11" s="20">
        <f t="shared" si="2"/>
        <v>6196211</v>
      </c>
      <c r="F11" s="20">
        <f t="shared" si="2"/>
        <v>21936014</v>
      </c>
      <c r="G11" s="20">
        <f t="shared" si="2"/>
        <v>9674540</v>
      </c>
      <c r="H11" s="20">
        <f t="shared" si="2"/>
        <v>5804329</v>
      </c>
      <c r="I11" s="20"/>
      <c r="J11" s="20">
        <f t="shared" si="2"/>
        <v>6114162</v>
      </c>
      <c r="K11" s="20">
        <f>+K12+K13+K14</f>
        <v>21593031</v>
      </c>
      <c r="L11" s="20">
        <f>+L12+L13+L14</f>
        <v>207080</v>
      </c>
      <c r="M11" s="20">
        <f>+M12+M13+M14</f>
        <v>53854</v>
      </c>
      <c r="N11" s="20"/>
      <c r="O11" s="20">
        <f>+O12+O13+O14</f>
        <v>82049</v>
      </c>
      <c r="P11" s="21">
        <f>+P12+P13+P14</f>
        <v>342983</v>
      </c>
      <c r="Q11" s="18"/>
    </row>
    <row r="12" spans="1:18" ht="12.75" customHeight="1">
      <c r="A12" s="22" t="s">
        <v>16</v>
      </c>
      <c r="B12" s="25">
        <v>9207718</v>
      </c>
      <c r="C12" s="25">
        <v>5140243</v>
      </c>
      <c r="D12" s="25"/>
      <c r="E12" s="43">
        <v>6196211</v>
      </c>
      <c r="F12" s="24">
        <f>SUM(B12:E12)</f>
        <v>20544172</v>
      </c>
      <c r="G12" s="29">
        <f>9442569-191687-228133</f>
        <v>9022749</v>
      </c>
      <c r="H12" s="29">
        <f>4189922+1100+1634+1000+2140+5775+44910+391505+448403</f>
        <v>5086389</v>
      </c>
      <c r="I12" s="29"/>
      <c r="J12" s="29">
        <f>5549908+15669+441585+107000</f>
        <v>6114162</v>
      </c>
      <c r="K12" s="24">
        <f>SUM(G12:J12)</f>
        <v>20223300</v>
      </c>
      <c r="L12" s="25">
        <f t="shared" ref="L12:M14" si="3">+B12-G12</f>
        <v>184969</v>
      </c>
      <c r="M12" s="25">
        <f t="shared" si="3"/>
        <v>53854</v>
      </c>
      <c r="N12" s="25"/>
      <c r="O12" s="25">
        <f>+E12-J12</f>
        <v>82049</v>
      </c>
      <c r="P12" s="26">
        <f>SUM(L12:O12)</f>
        <v>320872</v>
      </c>
      <c r="Q12" s="18"/>
    </row>
    <row r="13" spans="1:18" ht="12.75" customHeight="1">
      <c r="A13" s="22" t="s">
        <v>17</v>
      </c>
      <c r="B13" s="25">
        <v>464801</v>
      </c>
      <c r="C13" s="25">
        <v>717940</v>
      </c>
      <c r="D13" s="25"/>
      <c r="E13" s="43"/>
      <c r="F13" s="24">
        <f>SUM(B13:E13)</f>
        <v>1182741</v>
      </c>
      <c r="G13" s="29">
        <f>73600+151480+228133</f>
        <v>453213</v>
      </c>
      <c r="H13" s="29">
        <v>717940</v>
      </c>
      <c r="I13" s="29"/>
      <c r="J13" s="29"/>
      <c r="K13" s="24">
        <f>SUM(G13:J13)</f>
        <v>1171153</v>
      </c>
      <c r="L13" s="25">
        <f t="shared" si="3"/>
        <v>11588</v>
      </c>
      <c r="M13" s="25">
        <f t="shared" si="3"/>
        <v>0</v>
      </c>
      <c r="N13" s="25"/>
      <c r="O13" s="25">
        <f>+E13-J13</f>
        <v>0</v>
      </c>
      <c r="P13" s="26">
        <f>SUM(L13:O13)</f>
        <v>11588</v>
      </c>
      <c r="Q13" s="18"/>
    </row>
    <row r="14" spans="1:18" ht="12.75" customHeight="1">
      <c r="A14" s="22" t="s">
        <v>18</v>
      </c>
      <c r="B14" s="25">
        <v>209101</v>
      </c>
      <c r="C14" s="25"/>
      <c r="D14" s="25"/>
      <c r="E14" s="43"/>
      <c r="F14" s="24">
        <f>SUM(B14:E14)</f>
        <v>209101</v>
      </c>
      <c r="G14" s="29">
        <f>191687+6891</f>
        <v>198578</v>
      </c>
      <c r="H14" s="34"/>
      <c r="I14" s="34"/>
      <c r="J14" s="34"/>
      <c r="K14" s="24">
        <f>SUM(G14:J14)</f>
        <v>198578</v>
      </c>
      <c r="L14" s="25">
        <f t="shared" si="3"/>
        <v>10523</v>
      </c>
      <c r="M14" s="25">
        <f t="shared" si="3"/>
        <v>0</v>
      </c>
      <c r="N14" s="25"/>
      <c r="O14" s="25">
        <f>+E14-J14</f>
        <v>0</v>
      </c>
      <c r="P14" s="26">
        <f>SUM(L14:O14)</f>
        <v>10523</v>
      </c>
      <c r="Q14" s="18"/>
    </row>
    <row r="15" spans="1:18" ht="12.75" customHeight="1">
      <c r="A15" s="22" t="s">
        <v>19</v>
      </c>
      <c r="B15" s="44">
        <f t="shared" ref="B15:F15" si="4">+B16+B17</f>
        <v>0</v>
      </c>
      <c r="C15" s="44">
        <f t="shared" si="4"/>
        <v>721389</v>
      </c>
      <c r="D15" s="44">
        <f t="shared" si="4"/>
        <v>0</v>
      </c>
      <c r="E15" s="44">
        <f t="shared" si="4"/>
        <v>18403</v>
      </c>
      <c r="F15" s="44">
        <f t="shared" si="4"/>
        <v>739792</v>
      </c>
      <c r="G15" s="27">
        <f>+G16+G17</f>
        <v>0</v>
      </c>
      <c r="H15" s="27">
        <f>+H16+H17</f>
        <v>568143</v>
      </c>
      <c r="I15" s="27"/>
      <c r="J15" s="27">
        <f>+J16+J17</f>
        <v>18403</v>
      </c>
      <c r="K15" s="27">
        <f t="shared" ref="K15" si="5">+K16+K17</f>
        <v>586546</v>
      </c>
      <c r="L15" s="44">
        <f>+L16+L17</f>
        <v>0</v>
      </c>
      <c r="M15" s="44">
        <f>+M16+M17</f>
        <v>153246</v>
      </c>
      <c r="N15" s="44"/>
      <c r="O15" s="44">
        <f>+O16+O17</f>
        <v>0</v>
      </c>
      <c r="P15" s="45">
        <f>+P16+P17</f>
        <v>153246</v>
      </c>
      <c r="Q15" s="18"/>
    </row>
    <row r="16" spans="1:18" ht="12.75" customHeight="1">
      <c r="A16" s="23" t="s">
        <v>20</v>
      </c>
      <c r="B16" s="25"/>
      <c r="C16" s="25">
        <v>137558</v>
      </c>
      <c r="D16" s="25"/>
      <c r="E16" s="43">
        <v>18403</v>
      </c>
      <c r="F16" s="24">
        <f>SUM(B16:E16)</f>
        <v>155961</v>
      </c>
      <c r="G16" s="29"/>
      <c r="H16" s="29">
        <v>8097</v>
      </c>
      <c r="I16" s="29"/>
      <c r="J16" s="29">
        <f>26500-8097</f>
        <v>18403</v>
      </c>
      <c r="K16" s="24">
        <f>SUM(G16:J16)</f>
        <v>26500</v>
      </c>
      <c r="L16" s="25">
        <f>+B16-G16</f>
        <v>0</v>
      </c>
      <c r="M16" s="25">
        <f>+C16-H16</f>
        <v>129461</v>
      </c>
      <c r="N16" s="25"/>
      <c r="O16" s="25">
        <f>+E16-J16</f>
        <v>0</v>
      </c>
      <c r="P16" s="26">
        <f>SUM(L16:O16)</f>
        <v>129461</v>
      </c>
      <c r="Q16" s="18"/>
    </row>
    <row r="17" spans="1:17" ht="12.75" customHeight="1">
      <c r="A17" s="23" t="s">
        <v>21</v>
      </c>
      <c r="B17" s="25"/>
      <c r="C17" s="25">
        <v>583831</v>
      </c>
      <c r="D17" s="25"/>
      <c r="E17" s="43"/>
      <c r="F17" s="24">
        <f>SUM(B17:E17)</f>
        <v>583831</v>
      </c>
      <c r="G17" s="29"/>
      <c r="H17" s="29">
        <v>560046</v>
      </c>
      <c r="I17" s="29"/>
      <c r="J17" s="29"/>
      <c r="K17" s="24">
        <f>SUM(G17:J17)</f>
        <v>560046</v>
      </c>
      <c r="L17" s="25">
        <f>+B17-G17</f>
        <v>0</v>
      </c>
      <c r="M17" s="25">
        <f>+C17-H17</f>
        <v>23785</v>
      </c>
      <c r="N17" s="25"/>
      <c r="O17" s="25">
        <f>+E17-J17</f>
        <v>0</v>
      </c>
      <c r="P17" s="26">
        <f>SUM(L17:O17)</f>
        <v>23785</v>
      </c>
      <c r="Q17" s="18"/>
    </row>
    <row r="18" spans="1:17" ht="12.75" customHeight="1">
      <c r="A18" s="83"/>
      <c r="B18" s="77"/>
      <c r="C18" s="77"/>
      <c r="D18" s="77"/>
      <c r="E18" s="75"/>
      <c r="F18" s="77"/>
      <c r="G18" s="82"/>
      <c r="H18" s="82"/>
      <c r="I18" s="82"/>
      <c r="J18" s="82"/>
      <c r="K18" s="243"/>
      <c r="L18" s="77"/>
      <c r="M18" s="77"/>
      <c r="N18" s="77"/>
      <c r="O18" s="77"/>
      <c r="P18" s="75"/>
      <c r="Q18" s="76"/>
    </row>
    <row r="19" spans="1:17">
      <c r="A19" s="80"/>
    </row>
    <row r="20" spans="1:17">
      <c r="A20" s="80"/>
    </row>
    <row r="21" spans="1:17">
      <c r="A21" s="80"/>
    </row>
    <row r="22" spans="1:17">
      <c r="A22" s="80"/>
    </row>
    <row r="23" spans="1:17">
      <c r="A23" s="80"/>
    </row>
    <row r="24" spans="1:17">
      <c r="A24" s="80"/>
    </row>
    <row r="25" spans="1:17">
      <c r="A25" s="80"/>
    </row>
    <row r="26" spans="1:17">
      <c r="A26" s="80"/>
    </row>
    <row r="27" spans="1:17">
      <c r="A27" s="80"/>
    </row>
    <row r="28" spans="1:17">
      <c r="A28" s="80"/>
    </row>
    <row r="29" spans="1:17">
      <c r="A29" s="80"/>
    </row>
    <row r="30" spans="1:17">
      <c r="A30" s="80"/>
    </row>
    <row r="31" spans="1:17">
      <c r="A31" s="80"/>
    </row>
    <row r="32" spans="1:17">
      <c r="A32" s="80"/>
    </row>
    <row r="33" spans="1:1">
      <c r="A33" s="80"/>
    </row>
    <row r="34" spans="1:1">
      <c r="A34" s="80"/>
    </row>
    <row r="35" spans="1:1">
      <c r="A35" s="80"/>
    </row>
    <row r="36" spans="1:1">
      <c r="A36" s="80"/>
    </row>
    <row r="37" spans="1:1">
      <c r="A37" s="80"/>
    </row>
    <row r="38" spans="1:1">
      <c r="A38" s="80"/>
    </row>
    <row r="39" spans="1:1">
      <c r="A39" s="80"/>
    </row>
    <row r="40" spans="1:1">
      <c r="A40" s="80"/>
    </row>
    <row r="41" spans="1:1">
      <c r="A41" s="80"/>
    </row>
    <row r="42" spans="1:1">
      <c r="A42" s="80"/>
    </row>
    <row r="43" spans="1:1">
      <c r="A43" s="80"/>
    </row>
    <row r="44" spans="1:1">
      <c r="A44" s="80"/>
    </row>
    <row r="45" spans="1:1">
      <c r="A45" s="80"/>
    </row>
    <row r="46" spans="1:1">
      <c r="A46" s="80"/>
    </row>
    <row r="47" spans="1:1">
      <c r="A47" s="80"/>
    </row>
    <row r="48" spans="1:1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  <row r="61" spans="1:1">
      <c r="A61" s="80"/>
    </row>
    <row r="62" spans="1:1">
      <c r="A62" s="80"/>
    </row>
    <row r="63" spans="1:1">
      <c r="A63" s="80"/>
    </row>
    <row r="64" spans="1:1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1" fitToWidth="0" fitToHeight="0" orientation="landscape" r:id="rId1"/>
  <headerFooter alignWithMargins="0">
    <oddFooter>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1324"/>
  <sheetViews>
    <sheetView showRuler="0" zoomScaleSheetLayoutView="100" workbookViewId="0">
      <pane xSplit="1" ySplit="8" topLeftCell="B9" activePane="bottomRight" state="frozen"/>
      <selection activeCell="A155" sqref="A155:Q155"/>
      <selection pane="topRight" activeCell="A155" sqref="A155:Q155"/>
      <selection pane="bottomLeft" activeCell="A155" sqref="A155:Q155"/>
      <selection pane="bottomRight" activeCell="A155" sqref="A155:Q155"/>
    </sheetView>
  </sheetViews>
  <sheetFormatPr defaultRowHeight="12.75"/>
  <cols>
    <col min="1" max="1" width="32.5703125" style="81" customWidth="1"/>
    <col min="2" max="2" width="12" style="5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1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72" t="s">
        <v>361</v>
      </c>
      <c r="B10" s="17">
        <f t="shared" ref="B10:K10" si="0">+B11+B15</f>
        <v>2417</v>
      </c>
      <c r="C10" s="17">
        <f t="shared" si="0"/>
        <v>507</v>
      </c>
      <c r="D10" s="17">
        <f t="shared" si="0"/>
        <v>0</v>
      </c>
      <c r="E10" s="17">
        <f t="shared" si="0"/>
        <v>1309</v>
      </c>
      <c r="F10" s="17">
        <f t="shared" si="0"/>
        <v>4233</v>
      </c>
      <c r="G10" s="37">
        <f t="shared" si="0"/>
        <v>1451</v>
      </c>
      <c r="H10" s="37">
        <f t="shared" si="0"/>
        <v>240</v>
      </c>
      <c r="I10" s="37"/>
      <c r="J10" s="37">
        <f t="shared" si="0"/>
        <v>1289</v>
      </c>
      <c r="K10" s="37">
        <f t="shared" si="0"/>
        <v>2980</v>
      </c>
      <c r="L10" s="17">
        <f>+L11+L15</f>
        <v>966</v>
      </c>
      <c r="M10" s="17">
        <f>+M11+M15</f>
        <v>267</v>
      </c>
      <c r="N10" s="17"/>
      <c r="O10" s="17">
        <f>+O11+O15</f>
        <v>20</v>
      </c>
      <c r="P10" s="17">
        <f>+P11+P15</f>
        <v>1253</v>
      </c>
      <c r="Q10" s="18">
        <f>+K10/F10</f>
        <v>0.70399244034963382</v>
      </c>
    </row>
    <row r="11" spans="1:18" ht="12.75" customHeight="1">
      <c r="A11" s="41" t="s">
        <v>15</v>
      </c>
      <c r="B11" s="20">
        <f t="shared" ref="B11:J11" si="1">+B12+B13+B14</f>
        <v>2417</v>
      </c>
      <c r="C11" s="20">
        <f t="shared" si="1"/>
        <v>507</v>
      </c>
      <c r="D11" s="20">
        <f t="shared" si="1"/>
        <v>0</v>
      </c>
      <c r="E11" s="20">
        <f t="shared" si="1"/>
        <v>1309</v>
      </c>
      <c r="F11" s="20">
        <f t="shared" si="1"/>
        <v>4233</v>
      </c>
      <c r="G11" s="38">
        <f t="shared" si="1"/>
        <v>1451</v>
      </c>
      <c r="H11" s="38">
        <f t="shared" si="1"/>
        <v>240</v>
      </c>
      <c r="I11" s="38"/>
      <c r="J11" s="38">
        <f t="shared" si="1"/>
        <v>1289</v>
      </c>
      <c r="K11" s="38">
        <f>+K12+K13+K14</f>
        <v>2980</v>
      </c>
      <c r="L11" s="20">
        <f>+L12+L13+L14</f>
        <v>966</v>
      </c>
      <c r="M11" s="20">
        <f>+M12+M13+M14</f>
        <v>267</v>
      </c>
      <c r="N11" s="20"/>
      <c r="O11" s="20">
        <f>+O12+O13+O14</f>
        <v>20</v>
      </c>
      <c r="P11" s="21">
        <f>+P12+P13+P14</f>
        <v>1253</v>
      </c>
      <c r="Q11" s="18"/>
    </row>
    <row r="12" spans="1:18" ht="12.75" customHeight="1">
      <c r="A12" s="22" t="s">
        <v>16</v>
      </c>
      <c r="B12" s="25">
        <v>2351</v>
      </c>
      <c r="C12" s="25">
        <v>507</v>
      </c>
      <c r="D12" s="25"/>
      <c r="E12" s="43">
        <v>1309</v>
      </c>
      <c r="F12" s="24">
        <f>SUM(B12:E12)</f>
        <v>4167</v>
      </c>
      <c r="G12" s="31">
        <v>1451</v>
      </c>
      <c r="H12" s="31">
        <v>240</v>
      </c>
      <c r="I12" s="31"/>
      <c r="J12" s="31">
        <v>1289</v>
      </c>
      <c r="K12" s="32">
        <f>SUM(G12:J12)</f>
        <v>2980</v>
      </c>
      <c r="L12" s="25">
        <f t="shared" ref="L12:M14" si="2">+B12-G12</f>
        <v>900</v>
      </c>
      <c r="M12" s="25">
        <f t="shared" si="2"/>
        <v>267</v>
      </c>
      <c r="N12" s="25"/>
      <c r="O12" s="25">
        <f>+E12-J12</f>
        <v>20</v>
      </c>
      <c r="P12" s="26">
        <f>SUM(L12:O12)</f>
        <v>1187</v>
      </c>
      <c r="Q12" s="18"/>
    </row>
    <row r="13" spans="1:18" ht="12.75" customHeight="1">
      <c r="A13" s="22" t="s">
        <v>17</v>
      </c>
      <c r="B13" s="25">
        <v>66</v>
      </c>
      <c r="C13" s="25"/>
      <c r="D13" s="25"/>
      <c r="E13" s="43"/>
      <c r="F13" s="24">
        <f>SUM(B13:E13)</f>
        <v>66</v>
      </c>
      <c r="G13" s="31"/>
      <c r="H13" s="39"/>
      <c r="I13" s="39"/>
      <c r="J13" s="39"/>
      <c r="K13" s="32">
        <f>SUM(G13:J13)</f>
        <v>0</v>
      </c>
      <c r="L13" s="25">
        <f t="shared" si="2"/>
        <v>66</v>
      </c>
      <c r="M13" s="25">
        <f t="shared" si="2"/>
        <v>0</v>
      </c>
      <c r="N13" s="25"/>
      <c r="O13" s="25">
        <f>+E13-J13</f>
        <v>0</v>
      </c>
      <c r="P13" s="26">
        <f>SUM(L13:O13)</f>
        <v>66</v>
      </c>
      <c r="Q13" s="18"/>
    </row>
    <row r="14" spans="1:18" ht="12.75" customHeight="1">
      <c r="A14" s="22" t="s">
        <v>18</v>
      </c>
      <c r="B14" s="25"/>
      <c r="C14" s="25"/>
      <c r="D14" s="25"/>
      <c r="E14" s="43"/>
      <c r="F14" s="24">
        <f>SUM(B14:E14)</f>
        <v>0</v>
      </c>
      <c r="G14" s="31"/>
      <c r="H14" s="39"/>
      <c r="I14" s="39"/>
      <c r="J14" s="39"/>
      <c r="K14" s="32">
        <f>SUM(G14:J14)</f>
        <v>0</v>
      </c>
      <c r="L14" s="25">
        <f t="shared" si="2"/>
        <v>0</v>
      </c>
      <c r="M14" s="25">
        <f t="shared" si="2"/>
        <v>0</v>
      </c>
      <c r="N14" s="25"/>
      <c r="O14" s="25">
        <f>+E14-J14</f>
        <v>0</v>
      </c>
      <c r="P14" s="26">
        <f>SUM(L14:O14)</f>
        <v>0</v>
      </c>
      <c r="Q14" s="18"/>
    </row>
    <row r="15" spans="1:18" ht="12.75" customHeight="1">
      <c r="A15" s="22" t="s">
        <v>19</v>
      </c>
      <c r="B15" s="65">
        <f t="shared" ref="B15:K15" si="3">+B16+B17</f>
        <v>0</v>
      </c>
      <c r="C15" s="65">
        <f t="shared" si="3"/>
        <v>0</v>
      </c>
      <c r="D15" s="65">
        <f t="shared" si="3"/>
        <v>0</v>
      </c>
      <c r="E15" s="65">
        <f t="shared" si="3"/>
        <v>0</v>
      </c>
      <c r="F15" s="65">
        <f t="shared" si="3"/>
        <v>0</v>
      </c>
      <c r="G15" s="40">
        <f t="shared" si="3"/>
        <v>0</v>
      </c>
      <c r="H15" s="40">
        <f t="shared" si="3"/>
        <v>0</v>
      </c>
      <c r="I15" s="40"/>
      <c r="J15" s="40">
        <f t="shared" si="3"/>
        <v>0</v>
      </c>
      <c r="K15" s="40">
        <f t="shared" si="3"/>
        <v>0</v>
      </c>
      <c r="L15" s="44">
        <f>+L16+L17</f>
        <v>0</v>
      </c>
      <c r="M15" s="44">
        <f>+M16+M17</f>
        <v>0</v>
      </c>
      <c r="N15" s="44"/>
      <c r="O15" s="44">
        <f>+O16+O17</f>
        <v>0</v>
      </c>
      <c r="P15" s="45">
        <f>+P16+P17</f>
        <v>0</v>
      </c>
      <c r="Q15" s="18"/>
    </row>
    <row r="16" spans="1:18" ht="12.75" customHeight="1">
      <c r="A16" s="23" t="s">
        <v>20</v>
      </c>
      <c r="B16" s="25"/>
      <c r="C16" s="25"/>
      <c r="D16" s="25"/>
      <c r="E16" s="43"/>
      <c r="F16" s="24">
        <f>SUM(B16:E16)</f>
        <v>0</v>
      </c>
      <c r="G16" s="31"/>
      <c r="H16" s="31"/>
      <c r="I16" s="31"/>
      <c r="J16" s="31"/>
      <c r="K16" s="32">
        <f>SUM(G16:J16)</f>
        <v>0</v>
      </c>
      <c r="L16" s="25">
        <f>+B16-G16</f>
        <v>0</v>
      </c>
      <c r="M16" s="25">
        <f>+C16-H16</f>
        <v>0</v>
      </c>
      <c r="N16" s="25"/>
      <c r="O16" s="25">
        <f>+E16-J16</f>
        <v>0</v>
      </c>
      <c r="P16" s="26">
        <f>SUM(L16:O16)</f>
        <v>0</v>
      </c>
      <c r="Q16" s="18"/>
    </row>
    <row r="17" spans="1:17" ht="12.75" customHeight="1">
      <c r="A17" s="23" t="s">
        <v>21</v>
      </c>
      <c r="B17" s="25"/>
      <c r="C17" s="25"/>
      <c r="D17" s="25"/>
      <c r="E17" s="43"/>
      <c r="F17" s="24">
        <f>SUM(B17:E17)</f>
        <v>0</v>
      </c>
      <c r="G17" s="31"/>
      <c r="H17" s="31"/>
      <c r="I17" s="31"/>
      <c r="J17" s="31"/>
      <c r="K17" s="32">
        <f>SUM(G17:J17)</f>
        <v>0</v>
      </c>
      <c r="L17" s="25">
        <f>+B17-G17</f>
        <v>0</v>
      </c>
      <c r="M17" s="25">
        <f>+C17-H17</f>
        <v>0</v>
      </c>
      <c r="N17" s="25"/>
      <c r="O17" s="25">
        <f>+E17-J17</f>
        <v>0</v>
      </c>
      <c r="P17" s="26">
        <f>SUM(L17:O17)</f>
        <v>0</v>
      </c>
      <c r="Q17" s="18"/>
    </row>
    <row r="18" spans="1:17" ht="12.75" customHeight="1">
      <c r="A18" s="83"/>
      <c r="B18" s="77"/>
      <c r="C18" s="77"/>
      <c r="D18" s="77"/>
      <c r="E18" s="75"/>
      <c r="F18" s="77"/>
      <c r="G18" s="82"/>
      <c r="H18" s="82"/>
      <c r="I18" s="82"/>
      <c r="J18" s="82"/>
      <c r="K18" s="82"/>
      <c r="L18" s="77"/>
      <c r="M18" s="77"/>
      <c r="N18" s="77"/>
      <c r="O18" s="77"/>
      <c r="P18" s="75"/>
      <c r="Q18" s="76"/>
    </row>
    <row r="19" spans="1:17">
      <c r="A19" s="80"/>
    </row>
    <row r="20" spans="1:17">
      <c r="A20" s="80" t="s">
        <v>355</v>
      </c>
    </row>
    <row r="21" spans="1:17">
      <c r="A21" s="80"/>
    </row>
    <row r="22" spans="1:17">
      <c r="A22" s="80"/>
    </row>
    <row r="23" spans="1:17">
      <c r="A23" s="80"/>
    </row>
    <row r="24" spans="1:17">
      <c r="A24" s="80"/>
    </row>
    <row r="25" spans="1:17">
      <c r="A25" s="80"/>
    </row>
    <row r="26" spans="1:17">
      <c r="A26" s="80"/>
    </row>
    <row r="27" spans="1:17">
      <c r="A27" s="80"/>
    </row>
    <row r="28" spans="1:17">
      <c r="A28" s="80"/>
    </row>
    <row r="29" spans="1:17">
      <c r="A29" s="80"/>
    </row>
    <row r="30" spans="1:17">
      <c r="A30" s="80"/>
    </row>
    <row r="31" spans="1:17">
      <c r="A31" s="80"/>
    </row>
    <row r="32" spans="1:17">
      <c r="A32" s="80"/>
    </row>
    <row r="33" spans="1:1">
      <c r="A33" s="80"/>
    </row>
    <row r="34" spans="1:1">
      <c r="A34" s="80"/>
    </row>
    <row r="35" spans="1:1">
      <c r="A35" s="80"/>
    </row>
    <row r="36" spans="1:1">
      <c r="A36" s="80"/>
    </row>
    <row r="37" spans="1:1">
      <c r="A37" s="80"/>
    </row>
    <row r="38" spans="1:1">
      <c r="A38" s="80"/>
    </row>
    <row r="39" spans="1:1">
      <c r="A39" s="80"/>
    </row>
    <row r="40" spans="1:1">
      <c r="A40" s="80"/>
    </row>
    <row r="41" spans="1:1">
      <c r="A41" s="80"/>
    </row>
    <row r="42" spans="1:1">
      <c r="A42" s="80"/>
    </row>
    <row r="43" spans="1:1">
      <c r="A43" s="80"/>
    </row>
    <row r="44" spans="1:1">
      <c r="A44" s="80"/>
    </row>
    <row r="45" spans="1:1">
      <c r="A45" s="80"/>
    </row>
    <row r="46" spans="1:1">
      <c r="A46" s="80"/>
    </row>
    <row r="47" spans="1:1">
      <c r="A47" s="80"/>
    </row>
    <row r="48" spans="1:1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  <row r="61" spans="1:1">
      <c r="A61" s="80"/>
    </row>
    <row r="62" spans="1:1">
      <c r="A62" s="80"/>
    </row>
    <row r="63" spans="1:1">
      <c r="A63" s="80"/>
    </row>
    <row r="64" spans="1:1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  <row r="1128" spans="1:1">
      <c r="A1128" s="80"/>
    </row>
    <row r="1129" spans="1:1">
      <c r="A1129" s="80"/>
    </row>
    <row r="1130" spans="1:1">
      <c r="A1130" s="80"/>
    </row>
    <row r="1131" spans="1:1">
      <c r="A1131" s="80"/>
    </row>
    <row r="1132" spans="1:1">
      <c r="A1132" s="80"/>
    </row>
    <row r="1133" spans="1:1">
      <c r="A1133" s="80"/>
    </row>
    <row r="1134" spans="1:1">
      <c r="A1134" s="80"/>
    </row>
    <row r="1135" spans="1:1">
      <c r="A1135" s="80"/>
    </row>
    <row r="1136" spans="1:1">
      <c r="A1136" s="80"/>
    </row>
    <row r="1137" spans="1:1">
      <c r="A1137" s="80"/>
    </row>
    <row r="1138" spans="1:1">
      <c r="A1138" s="80"/>
    </row>
    <row r="1139" spans="1:1">
      <c r="A1139" s="80"/>
    </row>
    <row r="1140" spans="1:1">
      <c r="A1140" s="80"/>
    </row>
    <row r="1141" spans="1:1">
      <c r="A1141" s="80"/>
    </row>
    <row r="1142" spans="1:1">
      <c r="A1142" s="80"/>
    </row>
    <row r="1143" spans="1:1">
      <c r="A1143" s="80"/>
    </row>
    <row r="1144" spans="1:1">
      <c r="A1144" s="80"/>
    </row>
    <row r="1145" spans="1:1">
      <c r="A1145" s="80"/>
    </row>
    <row r="1146" spans="1:1">
      <c r="A1146" s="80"/>
    </row>
    <row r="1147" spans="1:1">
      <c r="A1147" s="80"/>
    </row>
    <row r="1148" spans="1:1">
      <c r="A1148" s="80"/>
    </row>
    <row r="1149" spans="1:1">
      <c r="A1149" s="80"/>
    </row>
    <row r="1150" spans="1:1">
      <c r="A1150" s="80"/>
    </row>
    <row r="1151" spans="1:1">
      <c r="A1151" s="80"/>
    </row>
    <row r="1152" spans="1:1">
      <c r="A1152" s="80"/>
    </row>
    <row r="1153" spans="1:1">
      <c r="A1153" s="80"/>
    </row>
    <row r="1154" spans="1:1">
      <c r="A1154" s="80"/>
    </row>
    <row r="1155" spans="1:1">
      <c r="A1155" s="80"/>
    </row>
    <row r="1156" spans="1:1">
      <c r="A1156" s="80"/>
    </row>
    <row r="1157" spans="1:1">
      <c r="A1157" s="80"/>
    </row>
    <row r="1158" spans="1:1">
      <c r="A1158" s="80"/>
    </row>
    <row r="1159" spans="1:1">
      <c r="A1159" s="80"/>
    </row>
    <row r="1160" spans="1:1">
      <c r="A1160" s="80"/>
    </row>
    <row r="1161" spans="1:1">
      <c r="A1161" s="80"/>
    </row>
    <row r="1162" spans="1:1">
      <c r="A1162" s="80"/>
    </row>
    <row r="1163" spans="1:1">
      <c r="A1163" s="80"/>
    </row>
    <row r="1164" spans="1:1">
      <c r="A1164" s="80"/>
    </row>
    <row r="1165" spans="1:1">
      <c r="A1165" s="80"/>
    </row>
    <row r="1166" spans="1:1">
      <c r="A1166" s="80"/>
    </row>
    <row r="1167" spans="1:1">
      <c r="A1167" s="80"/>
    </row>
    <row r="1168" spans="1:1">
      <c r="A1168" s="80"/>
    </row>
    <row r="1169" spans="1:1">
      <c r="A1169" s="80"/>
    </row>
    <row r="1170" spans="1:1">
      <c r="A1170" s="80"/>
    </row>
    <row r="1171" spans="1:1">
      <c r="A1171" s="80"/>
    </row>
    <row r="1172" spans="1:1">
      <c r="A1172" s="80"/>
    </row>
    <row r="1173" spans="1:1">
      <c r="A1173" s="80"/>
    </row>
    <row r="1174" spans="1:1">
      <c r="A1174" s="80"/>
    </row>
    <row r="1175" spans="1:1">
      <c r="A1175" s="80"/>
    </row>
    <row r="1176" spans="1:1">
      <c r="A1176" s="80"/>
    </row>
    <row r="1177" spans="1:1">
      <c r="A1177" s="80"/>
    </row>
    <row r="1178" spans="1:1">
      <c r="A1178" s="80"/>
    </row>
    <row r="1179" spans="1:1">
      <c r="A1179" s="80"/>
    </row>
    <row r="1180" spans="1:1">
      <c r="A1180" s="80"/>
    </row>
    <row r="1181" spans="1:1">
      <c r="A1181" s="80"/>
    </row>
    <row r="1182" spans="1:1">
      <c r="A1182" s="80"/>
    </row>
    <row r="1183" spans="1:1">
      <c r="A1183" s="80"/>
    </row>
    <row r="1184" spans="1:1">
      <c r="A1184" s="80"/>
    </row>
    <row r="1185" spans="1:1">
      <c r="A1185" s="80"/>
    </row>
    <row r="1186" spans="1:1">
      <c r="A1186" s="80"/>
    </row>
    <row r="1187" spans="1:1">
      <c r="A1187" s="80"/>
    </row>
    <row r="1188" spans="1:1">
      <c r="A1188" s="80"/>
    </row>
    <row r="1189" spans="1:1">
      <c r="A1189" s="80"/>
    </row>
    <row r="1190" spans="1:1">
      <c r="A1190" s="80"/>
    </row>
    <row r="1191" spans="1:1">
      <c r="A1191" s="80"/>
    </row>
    <row r="1192" spans="1:1">
      <c r="A1192" s="80"/>
    </row>
    <row r="1193" spans="1:1">
      <c r="A1193" s="80"/>
    </row>
    <row r="1194" spans="1:1">
      <c r="A1194" s="80"/>
    </row>
    <row r="1195" spans="1:1">
      <c r="A1195" s="80"/>
    </row>
    <row r="1196" spans="1:1">
      <c r="A1196" s="80"/>
    </row>
    <row r="1197" spans="1:1">
      <c r="A1197" s="80"/>
    </row>
    <row r="1198" spans="1:1">
      <c r="A1198" s="80"/>
    </row>
    <row r="1199" spans="1:1">
      <c r="A1199" s="80"/>
    </row>
    <row r="1200" spans="1:1">
      <c r="A1200" s="80"/>
    </row>
    <row r="1201" spans="1:1">
      <c r="A1201" s="80"/>
    </row>
    <row r="1202" spans="1:1">
      <c r="A1202" s="80"/>
    </row>
    <row r="1203" spans="1:1">
      <c r="A1203" s="80"/>
    </row>
    <row r="1204" spans="1:1">
      <c r="A1204" s="80"/>
    </row>
    <row r="1205" spans="1:1">
      <c r="A1205" s="80"/>
    </row>
    <row r="1206" spans="1:1">
      <c r="A1206" s="80"/>
    </row>
    <row r="1207" spans="1:1">
      <c r="A1207" s="80"/>
    </row>
    <row r="1208" spans="1:1">
      <c r="A1208" s="80"/>
    </row>
    <row r="1209" spans="1:1">
      <c r="A1209" s="80"/>
    </row>
    <row r="1210" spans="1:1">
      <c r="A1210" s="80"/>
    </row>
    <row r="1211" spans="1:1">
      <c r="A1211" s="80"/>
    </row>
    <row r="1212" spans="1:1">
      <c r="A1212" s="80"/>
    </row>
    <row r="1213" spans="1:1">
      <c r="A1213" s="80"/>
    </row>
    <row r="1214" spans="1:1">
      <c r="A1214" s="80"/>
    </row>
    <row r="1215" spans="1:1">
      <c r="A1215" s="80"/>
    </row>
    <row r="1216" spans="1:1">
      <c r="A1216" s="80"/>
    </row>
    <row r="1217" spans="1:1">
      <c r="A1217" s="80"/>
    </row>
    <row r="1218" spans="1:1">
      <c r="A1218" s="80"/>
    </row>
    <row r="1219" spans="1:1">
      <c r="A1219" s="80"/>
    </row>
    <row r="1220" spans="1:1">
      <c r="A1220" s="80"/>
    </row>
    <row r="1221" spans="1:1">
      <c r="A1221" s="80"/>
    </row>
    <row r="1222" spans="1:1">
      <c r="A1222" s="80"/>
    </row>
    <row r="1223" spans="1:1">
      <c r="A1223" s="80"/>
    </row>
    <row r="1224" spans="1:1">
      <c r="A1224" s="80"/>
    </row>
    <row r="1225" spans="1:1">
      <c r="A1225" s="80"/>
    </row>
    <row r="1226" spans="1:1">
      <c r="A1226" s="80"/>
    </row>
    <row r="1227" spans="1:1">
      <c r="A1227" s="80"/>
    </row>
    <row r="1228" spans="1:1">
      <c r="A1228" s="80"/>
    </row>
    <row r="1229" spans="1:1">
      <c r="A1229" s="80"/>
    </row>
    <row r="1230" spans="1:1">
      <c r="A1230" s="80"/>
    </row>
    <row r="1231" spans="1:1">
      <c r="A1231" s="80"/>
    </row>
    <row r="1232" spans="1:1">
      <c r="A1232" s="80"/>
    </row>
    <row r="1233" spans="1:1">
      <c r="A1233" s="80"/>
    </row>
    <row r="1234" spans="1:1">
      <c r="A1234" s="80"/>
    </row>
    <row r="1235" spans="1:1">
      <c r="A1235" s="80"/>
    </row>
    <row r="1236" spans="1:1">
      <c r="A1236" s="80"/>
    </row>
    <row r="1237" spans="1:1">
      <c r="A1237" s="80"/>
    </row>
    <row r="1238" spans="1:1">
      <c r="A1238" s="80"/>
    </row>
    <row r="1239" spans="1:1">
      <c r="A1239" s="80"/>
    </row>
    <row r="1240" spans="1:1">
      <c r="A1240" s="80"/>
    </row>
    <row r="1241" spans="1:1">
      <c r="A1241" s="80"/>
    </row>
    <row r="1242" spans="1:1">
      <c r="A1242" s="80"/>
    </row>
    <row r="1243" spans="1:1">
      <c r="A1243" s="80"/>
    </row>
    <row r="1244" spans="1:1">
      <c r="A1244" s="80"/>
    </row>
    <row r="1245" spans="1:1">
      <c r="A1245" s="80"/>
    </row>
    <row r="1246" spans="1:1">
      <c r="A1246" s="80"/>
    </row>
    <row r="1247" spans="1:1">
      <c r="A1247" s="80"/>
    </row>
    <row r="1248" spans="1:1">
      <c r="A1248" s="80"/>
    </row>
    <row r="1249" spans="1:1">
      <c r="A1249" s="80"/>
    </row>
    <row r="1250" spans="1:1">
      <c r="A1250" s="80"/>
    </row>
    <row r="1251" spans="1:1">
      <c r="A1251" s="80"/>
    </row>
    <row r="1252" spans="1:1">
      <c r="A1252" s="80"/>
    </row>
    <row r="1253" spans="1:1">
      <c r="A1253" s="80"/>
    </row>
    <row r="1254" spans="1:1">
      <c r="A1254" s="80"/>
    </row>
    <row r="1255" spans="1:1">
      <c r="A1255" s="80"/>
    </row>
    <row r="1256" spans="1:1">
      <c r="A1256" s="80"/>
    </row>
    <row r="1257" spans="1:1">
      <c r="A1257" s="80"/>
    </row>
    <row r="1258" spans="1:1">
      <c r="A1258" s="80"/>
    </row>
    <row r="1259" spans="1:1">
      <c r="A1259" s="80"/>
    </row>
    <row r="1260" spans="1:1">
      <c r="A1260" s="80"/>
    </row>
    <row r="1261" spans="1:1">
      <c r="A1261" s="80"/>
    </row>
    <row r="1262" spans="1:1">
      <c r="A1262" s="80"/>
    </row>
    <row r="1263" spans="1:1">
      <c r="A1263" s="80"/>
    </row>
    <row r="1264" spans="1:1">
      <c r="A1264" s="80"/>
    </row>
    <row r="1265" spans="1:1">
      <c r="A1265" s="80"/>
    </row>
    <row r="1266" spans="1:1">
      <c r="A1266" s="80"/>
    </row>
    <row r="1267" spans="1:1">
      <c r="A1267" s="80"/>
    </row>
    <row r="1268" spans="1:1">
      <c r="A1268" s="80"/>
    </row>
    <row r="1269" spans="1:1">
      <c r="A1269" s="80"/>
    </row>
    <row r="1270" spans="1:1">
      <c r="A1270" s="80"/>
    </row>
    <row r="1271" spans="1:1">
      <c r="A1271" s="80"/>
    </row>
    <row r="1272" spans="1:1">
      <c r="A1272" s="80"/>
    </row>
    <row r="1273" spans="1:1">
      <c r="A1273" s="80"/>
    </row>
    <row r="1274" spans="1:1">
      <c r="A1274" s="80"/>
    </row>
    <row r="1275" spans="1:1">
      <c r="A1275" s="80"/>
    </row>
    <row r="1276" spans="1:1">
      <c r="A1276" s="80"/>
    </row>
    <row r="1277" spans="1:1">
      <c r="A1277" s="80"/>
    </row>
    <row r="1278" spans="1:1">
      <c r="A1278" s="80"/>
    </row>
    <row r="1279" spans="1:1">
      <c r="A1279" s="80"/>
    </row>
    <row r="1280" spans="1:1">
      <c r="A1280" s="80"/>
    </row>
    <row r="1281" spans="1:1">
      <c r="A1281" s="80"/>
    </row>
    <row r="1282" spans="1:1">
      <c r="A1282" s="80"/>
    </row>
    <row r="1283" spans="1:1">
      <c r="A1283" s="80"/>
    </row>
    <row r="1284" spans="1:1">
      <c r="A1284" s="80"/>
    </row>
    <row r="1285" spans="1:1">
      <c r="A1285" s="80"/>
    </row>
    <row r="1286" spans="1:1">
      <c r="A1286" s="80"/>
    </row>
    <row r="1287" spans="1:1">
      <c r="A1287" s="80"/>
    </row>
    <row r="1288" spans="1:1">
      <c r="A1288" s="80"/>
    </row>
    <row r="1289" spans="1:1">
      <c r="A1289" s="80"/>
    </row>
    <row r="1290" spans="1:1">
      <c r="A1290" s="80"/>
    </row>
    <row r="1291" spans="1:1">
      <c r="A1291" s="80"/>
    </row>
    <row r="1292" spans="1:1">
      <c r="A1292" s="80"/>
    </row>
    <row r="1293" spans="1:1">
      <c r="A1293" s="80"/>
    </row>
    <row r="1294" spans="1:1">
      <c r="A1294" s="80"/>
    </row>
    <row r="1295" spans="1:1">
      <c r="A1295" s="80"/>
    </row>
    <row r="1296" spans="1:1">
      <c r="A1296" s="80"/>
    </row>
    <row r="1297" spans="1:1">
      <c r="A1297" s="80"/>
    </row>
    <row r="1298" spans="1:1">
      <c r="A1298" s="80"/>
    </row>
    <row r="1299" spans="1:1">
      <c r="A1299" s="80"/>
    </row>
    <row r="1300" spans="1:1">
      <c r="A1300" s="80"/>
    </row>
    <row r="1301" spans="1:1">
      <c r="A1301" s="80"/>
    </row>
    <row r="1302" spans="1:1">
      <c r="A1302" s="80"/>
    </row>
    <row r="1303" spans="1:1">
      <c r="A1303" s="80"/>
    </row>
    <row r="1304" spans="1:1">
      <c r="A1304" s="80"/>
    </row>
    <row r="1305" spans="1:1">
      <c r="A1305" s="80"/>
    </row>
    <row r="1306" spans="1:1">
      <c r="A1306" s="80"/>
    </row>
    <row r="1307" spans="1:1">
      <c r="A1307" s="80"/>
    </row>
    <row r="1308" spans="1:1">
      <c r="A1308" s="80"/>
    </row>
    <row r="1309" spans="1:1">
      <c r="A1309" s="80"/>
    </row>
    <row r="1310" spans="1:1">
      <c r="A1310" s="80"/>
    </row>
    <row r="1311" spans="1:1">
      <c r="A1311" s="80"/>
    </row>
    <row r="1312" spans="1:1">
      <c r="A1312" s="80"/>
    </row>
    <row r="1313" spans="1:1">
      <c r="A1313" s="80"/>
    </row>
    <row r="1314" spans="1:1">
      <c r="A1314" s="80"/>
    </row>
    <row r="1315" spans="1:1">
      <c r="A1315" s="80"/>
    </row>
    <row r="1316" spans="1:1">
      <c r="A1316" s="80"/>
    </row>
    <row r="1317" spans="1:1">
      <c r="A1317" s="80"/>
    </row>
    <row r="1318" spans="1:1">
      <c r="A1318" s="80"/>
    </row>
    <row r="1319" spans="1:1">
      <c r="A1319" s="80"/>
    </row>
    <row r="1320" spans="1:1">
      <c r="A1320" s="80"/>
    </row>
    <row r="1321" spans="1:1">
      <c r="A1321" s="80"/>
    </row>
    <row r="1322" spans="1:1">
      <c r="A1322" s="80"/>
    </row>
    <row r="1323" spans="1:1">
      <c r="A1323" s="80"/>
    </row>
    <row r="1324" spans="1:1">
      <c r="A1324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3" fitToWidth="0" fitToHeight="0" orientation="landscape" r:id="rId1"/>
  <headerFooter alignWithMargins="0">
    <oddFooter>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R1317"/>
  <sheetViews>
    <sheetView tabSelected="1" showRuler="0" zoomScaleSheetLayoutView="100" workbookViewId="0">
      <pane xSplit="1" ySplit="8" topLeftCell="B9" activePane="bottomRight" state="frozen"/>
      <selection activeCell="A1459" sqref="A1459"/>
      <selection pane="topRight" activeCell="A1459" sqref="A1459"/>
      <selection pane="bottomLeft" activeCell="A1459" sqref="A1459"/>
      <selection pane="bottomRight" activeCell="D27" sqref="D27"/>
    </sheetView>
  </sheetViews>
  <sheetFormatPr defaultRowHeight="12.75"/>
  <cols>
    <col min="1" max="1" width="35.7109375" style="81" customWidth="1"/>
    <col min="2" max="2" width="12.28515625" style="5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52" width="9.140625" style="5"/>
    <col min="53" max="53" width="11.140625" style="5" bestFit="1" customWidth="1"/>
    <col min="54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202</v>
      </c>
      <c r="B10" s="17">
        <f t="shared" ref="B10:P10" si="0">+B11+B15</f>
        <v>16232291</v>
      </c>
      <c r="C10" s="17">
        <f t="shared" si="0"/>
        <v>7076589</v>
      </c>
      <c r="D10" s="17"/>
      <c r="E10" s="17">
        <f t="shared" si="0"/>
        <v>339071</v>
      </c>
      <c r="F10" s="17">
        <f t="shared" si="0"/>
        <v>23647951</v>
      </c>
      <c r="G10" s="17">
        <f t="shared" si="0"/>
        <v>12370150</v>
      </c>
      <c r="H10" s="17">
        <f t="shared" si="0"/>
        <v>1849717</v>
      </c>
      <c r="I10" s="17"/>
      <c r="J10" s="17">
        <f t="shared" si="0"/>
        <v>52310</v>
      </c>
      <c r="K10" s="17">
        <f t="shared" si="0"/>
        <v>14272177</v>
      </c>
      <c r="L10" s="17">
        <f t="shared" si="0"/>
        <v>3862141</v>
      </c>
      <c r="M10" s="17">
        <f t="shared" si="0"/>
        <v>5226872</v>
      </c>
      <c r="N10" s="17"/>
      <c r="O10" s="17">
        <f t="shared" si="0"/>
        <v>286761</v>
      </c>
      <c r="P10" s="17">
        <f t="shared" si="0"/>
        <v>9375774</v>
      </c>
      <c r="Q10" s="18">
        <f>+K10/F10</f>
        <v>0.6035270032486113</v>
      </c>
    </row>
    <row r="11" spans="1:18" ht="12.75" customHeight="1">
      <c r="A11" s="41" t="s">
        <v>15</v>
      </c>
      <c r="B11" s="20">
        <f t="shared" ref="B11:P11" si="1">+B12+B13+B14</f>
        <v>16232291</v>
      </c>
      <c r="C11" s="20">
        <f t="shared" si="1"/>
        <v>3888169</v>
      </c>
      <c r="D11" s="20"/>
      <c r="E11" s="20">
        <f t="shared" si="1"/>
        <v>336118</v>
      </c>
      <c r="F11" s="20">
        <f t="shared" si="1"/>
        <v>20456578</v>
      </c>
      <c r="G11" s="20">
        <f t="shared" si="1"/>
        <v>12370150</v>
      </c>
      <c r="H11" s="20">
        <f t="shared" si="1"/>
        <v>1677069</v>
      </c>
      <c r="I11" s="20"/>
      <c r="J11" s="20">
        <f t="shared" si="1"/>
        <v>49357</v>
      </c>
      <c r="K11" s="20">
        <f t="shared" si="1"/>
        <v>14096576</v>
      </c>
      <c r="L11" s="20">
        <f t="shared" si="1"/>
        <v>3862141</v>
      </c>
      <c r="M11" s="20">
        <f t="shared" si="1"/>
        <v>2211100</v>
      </c>
      <c r="N11" s="20"/>
      <c r="O11" s="20">
        <f t="shared" si="1"/>
        <v>286761</v>
      </c>
      <c r="P11" s="21">
        <f t="shared" si="1"/>
        <v>6360002</v>
      </c>
      <c r="Q11" s="18"/>
    </row>
    <row r="12" spans="1:18" ht="12.75" customHeight="1">
      <c r="A12" s="22" t="s">
        <v>16</v>
      </c>
      <c r="B12" s="23">
        <f t="shared" ref="B12:E14" si="2">+B21+B30+B39+B48+B57</f>
        <v>14335529</v>
      </c>
      <c r="C12" s="23">
        <f t="shared" si="2"/>
        <v>3888169</v>
      </c>
      <c r="D12" s="23"/>
      <c r="E12" s="23">
        <f t="shared" si="2"/>
        <v>336118</v>
      </c>
      <c r="F12" s="24">
        <f>SUM(B12:E12)</f>
        <v>18559816</v>
      </c>
      <c r="G12" s="23">
        <f t="shared" ref="G12:J14" si="3">+G21+G30+G39+G48+G57</f>
        <v>11041957</v>
      </c>
      <c r="H12" s="23">
        <f t="shared" si="3"/>
        <v>1677069</v>
      </c>
      <c r="I12" s="23"/>
      <c r="J12" s="23">
        <f t="shared" si="3"/>
        <v>49357</v>
      </c>
      <c r="K12" s="24">
        <f>SUM(G12:J12)</f>
        <v>12768383</v>
      </c>
      <c r="L12" s="25">
        <f t="shared" ref="L12:M14" si="4">+B12-G12</f>
        <v>3293572</v>
      </c>
      <c r="M12" s="25">
        <f t="shared" si="4"/>
        <v>2211100</v>
      </c>
      <c r="N12" s="25"/>
      <c r="O12" s="25">
        <f>+E12-J12</f>
        <v>286761</v>
      </c>
      <c r="P12" s="26">
        <f>SUM(L12:O12)</f>
        <v>5791433</v>
      </c>
      <c r="Q12" s="18"/>
    </row>
    <row r="13" spans="1:18" ht="12.75" customHeight="1">
      <c r="A13" s="22" t="s">
        <v>17</v>
      </c>
      <c r="B13" s="23">
        <f t="shared" si="2"/>
        <v>1114753</v>
      </c>
      <c r="C13" s="23">
        <f t="shared" si="2"/>
        <v>0</v>
      </c>
      <c r="D13" s="23"/>
      <c r="E13" s="23">
        <f t="shared" si="2"/>
        <v>0</v>
      </c>
      <c r="F13" s="24">
        <f>SUM(B13:E13)</f>
        <v>1114753</v>
      </c>
      <c r="G13" s="23">
        <f t="shared" si="3"/>
        <v>725278</v>
      </c>
      <c r="H13" s="23">
        <f t="shared" si="3"/>
        <v>0</v>
      </c>
      <c r="I13" s="23"/>
      <c r="J13" s="23">
        <f t="shared" si="3"/>
        <v>0</v>
      </c>
      <c r="K13" s="24">
        <f>SUM(G13:J13)</f>
        <v>725278</v>
      </c>
      <c r="L13" s="25">
        <f t="shared" si="4"/>
        <v>389475</v>
      </c>
      <c r="M13" s="25">
        <f t="shared" si="4"/>
        <v>0</v>
      </c>
      <c r="N13" s="25"/>
      <c r="O13" s="25">
        <f>+E13-J13</f>
        <v>0</v>
      </c>
      <c r="P13" s="26">
        <f>SUM(L13:O13)</f>
        <v>389475</v>
      </c>
      <c r="Q13" s="18"/>
    </row>
    <row r="14" spans="1:18" ht="12.75" customHeight="1">
      <c r="A14" s="22" t="s">
        <v>18</v>
      </c>
      <c r="B14" s="23">
        <f t="shared" si="2"/>
        <v>782009</v>
      </c>
      <c r="C14" s="23">
        <f t="shared" si="2"/>
        <v>0</v>
      </c>
      <c r="D14" s="23"/>
      <c r="E14" s="23">
        <f t="shared" si="2"/>
        <v>0</v>
      </c>
      <c r="F14" s="24">
        <f>SUM(B14:E14)</f>
        <v>782009</v>
      </c>
      <c r="G14" s="23">
        <f t="shared" si="3"/>
        <v>602915</v>
      </c>
      <c r="H14" s="23">
        <f t="shared" si="3"/>
        <v>0</v>
      </c>
      <c r="I14" s="23"/>
      <c r="J14" s="23">
        <f t="shared" si="3"/>
        <v>0</v>
      </c>
      <c r="K14" s="24">
        <f>SUM(G14:J14)</f>
        <v>602915</v>
      </c>
      <c r="L14" s="25">
        <f t="shared" si="4"/>
        <v>179094</v>
      </c>
      <c r="M14" s="25">
        <f t="shared" si="4"/>
        <v>0</v>
      </c>
      <c r="N14" s="25"/>
      <c r="O14" s="25">
        <f>+E14-J14</f>
        <v>0</v>
      </c>
      <c r="P14" s="26">
        <f>SUM(L14:O14)</f>
        <v>179094</v>
      </c>
      <c r="Q14" s="18"/>
    </row>
    <row r="15" spans="1:18" ht="12.75" customHeight="1">
      <c r="A15" s="22" t="s">
        <v>19</v>
      </c>
      <c r="B15" s="44">
        <f t="shared" ref="B15:P15" si="5">+B16+B17</f>
        <v>0</v>
      </c>
      <c r="C15" s="44">
        <f t="shared" si="5"/>
        <v>3188420</v>
      </c>
      <c r="D15" s="44"/>
      <c r="E15" s="45">
        <f t="shared" si="5"/>
        <v>2953</v>
      </c>
      <c r="F15" s="44">
        <f t="shared" si="5"/>
        <v>3191373</v>
      </c>
      <c r="G15" s="44">
        <f t="shared" si="5"/>
        <v>0</v>
      </c>
      <c r="H15" s="44">
        <f t="shared" si="5"/>
        <v>172648</v>
      </c>
      <c r="I15" s="44"/>
      <c r="J15" s="45">
        <f t="shared" si="5"/>
        <v>2953</v>
      </c>
      <c r="K15" s="44">
        <f t="shared" si="5"/>
        <v>175601</v>
      </c>
      <c r="L15" s="44">
        <f t="shared" si="5"/>
        <v>0</v>
      </c>
      <c r="M15" s="44">
        <f t="shared" si="5"/>
        <v>3015772</v>
      </c>
      <c r="N15" s="44"/>
      <c r="O15" s="44">
        <f t="shared" si="5"/>
        <v>0</v>
      </c>
      <c r="P15" s="45">
        <f t="shared" si="5"/>
        <v>3015772</v>
      </c>
      <c r="Q15" s="18"/>
    </row>
    <row r="16" spans="1:18" ht="12.75" customHeight="1">
      <c r="A16" s="23" t="s">
        <v>20</v>
      </c>
      <c r="B16" s="23">
        <f t="shared" ref="B16:E17" si="6">+B25+B34+B43+B52+B61</f>
        <v>0</v>
      </c>
      <c r="C16" s="23">
        <f t="shared" si="6"/>
        <v>3188420</v>
      </c>
      <c r="D16" s="23"/>
      <c r="E16" s="23">
        <f t="shared" si="6"/>
        <v>2953</v>
      </c>
      <c r="F16" s="24">
        <f>SUM(B16:E16)</f>
        <v>3191373</v>
      </c>
      <c r="G16" s="23">
        <f t="shared" ref="G16:J17" si="7">+G25+G34+G43+G52+G61</f>
        <v>0</v>
      </c>
      <c r="H16" s="23">
        <f t="shared" si="7"/>
        <v>172648</v>
      </c>
      <c r="I16" s="23"/>
      <c r="J16" s="23">
        <f t="shared" si="7"/>
        <v>2953</v>
      </c>
      <c r="K16" s="24">
        <f>SUM(G16:J16)</f>
        <v>175601</v>
      </c>
      <c r="L16" s="25">
        <f>+B16-G16</f>
        <v>0</v>
      </c>
      <c r="M16" s="25">
        <f>+C16-H16</f>
        <v>3015772</v>
      </c>
      <c r="N16" s="25"/>
      <c r="O16" s="25">
        <f>+E16-J16</f>
        <v>0</v>
      </c>
      <c r="P16" s="26">
        <f>SUM(L16:O16)</f>
        <v>3015772</v>
      </c>
      <c r="Q16" s="18"/>
    </row>
    <row r="17" spans="1:17" ht="12.75" customHeight="1">
      <c r="A17" s="23" t="s">
        <v>21</v>
      </c>
      <c r="B17" s="23">
        <f t="shared" si="6"/>
        <v>0</v>
      </c>
      <c r="C17" s="23">
        <f t="shared" si="6"/>
        <v>0</v>
      </c>
      <c r="D17" s="23"/>
      <c r="E17" s="23">
        <f t="shared" si="6"/>
        <v>0</v>
      </c>
      <c r="F17" s="24">
        <f>SUM(B17:E17)</f>
        <v>0</v>
      </c>
      <c r="G17" s="23">
        <f t="shared" si="7"/>
        <v>0</v>
      </c>
      <c r="H17" s="23">
        <f t="shared" si="7"/>
        <v>0</v>
      </c>
      <c r="I17" s="23"/>
      <c r="J17" s="23">
        <f t="shared" si="7"/>
        <v>0</v>
      </c>
      <c r="K17" s="24">
        <f>SUM(G17:J17)</f>
        <v>0</v>
      </c>
      <c r="L17" s="25">
        <f>+B17-G17</f>
        <v>0</v>
      </c>
      <c r="M17" s="25">
        <f>+C17-H17</f>
        <v>0</v>
      </c>
      <c r="N17" s="25"/>
      <c r="O17" s="25">
        <f>+E17-J17</f>
        <v>0</v>
      </c>
      <c r="P17" s="26">
        <f>SUM(L17:O17)</f>
        <v>0</v>
      </c>
      <c r="Q17" s="18"/>
    </row>
    <row r="18" spans="1:17" ht="12.75" customHeight="1">
      <c r="A18" s="22"/>
      <c r="B18" s="25"/>
      <c r="C18" s="25"/>
      <c r="D18" s="25"/>
      <c r="E18" s="43"/>
      <c r="F18" s="24"/>
      <c r="G18" s="47"/>
      <c r="H18" s="47"/>
      <c r="I18" s="47"/>
      <c r="J18" s="47"/>
      <c r="K18" s="32"/>
      <c r="L18" s="25"/>
      <c r="M18" s="25"/>
      <c r="N18" s="25"/>
      <c r="O18" s="25"/>
      <c r="P18" s="26"/>
      <c r="Q18" s="18"/>
    </row>
    <row r="19" spans="1:17" ht="12.75" customHeight="1">
      <c r="A19" s="215" t="s">
        <v>362</v>
      </c>
      <c r="B19" s="17">
        <f t="shared" ref="B19:K19" si="8">+B20+B24</f>
        <v>14562411</v>
      </c>
      <c r="C19" s="17">
        <f t="shared" si="8"/>
        <v>5979336</v>
      </c>
      <c r="D19" s="17">
        <f t="shared" si="8"/>
        <v>0</v>
      </c>
      <c r="E19" s="17">
        <f t="shared" si="8"/>
        <v>174000</v>
      </c>
      <c r="F19" s="17">
        <f t="shared" si="8"/>
        <v>20715747</v>
      </c>
      <c r="G19" s="37">
        <f t="shared" si="8"/>
        <v>11098788</v>
      </c>
      <c r="H19" s="37">
        <f t="shared" si="8"/>
        <v>1281973</v>
      </c>
      <c r="I19" s="37"/>
      <c r="J19" s="37">
        <f t="shared" si="8"/>
        <v>0</v>
      </c>
      <c r="K19" s="37">
        <f t="shared" si="8"/>
        <v>12380761</v>
      </c>
      <c r="L19" s="17">
        <f>+L20+L24</f>
        <v>3463623</v>
      </c>
      <c r="M19" s="17">
        <f>+M20+M24</f>
        <v>4697363</v>
      </c>
      <c r="N19" s="17"/>
      <c r="O19" s="17">
        <f>+O20+O24</f>
        <v>174000</v>
      </c>
      <c r="P19" s="17">
        <f>+P20+P24</f>
        <v>8334986</v>
      </c>
      <c r="Q19" s="18">
        <f>+K19/F19</f>
        <v>0.59764974924631009</v>
      </c>
    </row>
    <row r="20" spans="1:17" ht="12.75" customHeight="1">
      <c r="A20" s="41" t="s">
        <v>15</v>
      </c>
      <c r="B20" s="20">
        <f t="shared" ref="B20:J20" si="9">+B21+B22+B23</f>
        <v>14562411</v>
      </c>
      <c r="C20" s="20">
        <f t="shared" si="9"/>
        <v>3266150</v>
      </c>
      <c r="D20" s="20">
        <f t="shared" si="9"/>
        <v>0</v>
      </c>
      <c r="E20" s="20">
        <f t="shared" si="9"/>
        <v>174000</v>
      </c>
      <c r="F20" s="20">
        <f t="shared" si="9"/>
        <v>18002561</v>
      </c>
      <c r="G20" s="38">
        <f t="shared" si="9"/>
        <v>11098788</v>
      </c>
      <c r="H20" s="38">
        <f t="shared" si="9"/>
        <v>1160174</v>
      </c>
      <c r="I20" s="38"/>
      <c r="J20" s="38">
        <f t="shared" si="9"/>
        <v>0</v>
      </c>
      <c r="K20" s="38">
        <f>+K21+K22+K23</f>
        <v>12258962</v>
      </c>
      <c r="L20" s="20">
        <f>+L21+L22+L23</f>
        <v>3463623</v>
      </c>
      <c r="M20" s="20">
        <f>+M21+M22+M23</f>
        <v>2105976</v>
      </c>
      <c r="N20" s="20"/>
      <c r="O20" s="20">
        <f>+O21+O22+O23</f>
        <v>174000</v>
      </c>
      <c r="P20" s="21">
        <f>+P21+P22+P23</f>
        <v>5743599</v>
      </c>
      <c r="Q20" s="18"/>
    </row>
    <row r="21" spans="1:17" ht="12.75" customHeight="1">
      <c r="A21" s="22" t="s">
        <v>16</v>
      </c>
      <c r="B21" s="29">
        <v>12967504</v>
      </c>
      <c r="C21" s="29">
        <v>3266150</v>
      </c>
      <c r="D21" s="29"/>
      <c r="E21" s="30">
        <v>174000</v>
      </c>
      <c r="F21" s="24">
        <f>SUM(B21:E21)</f>
        <v>16407654</v>
      </c>
      <c r="G21" s="31">
        <f>11098788-538001-596466</f>
        <v>9964321</v>
      </c>
      <c r="H21" s="31">
        <v>1160174</v>
      </c>
      <c r="I21" s="31"/>
      <c r="J21" s="31"/>
      <c r="K21" s="32">
        <f>SUM(G21:J21)</f>
        <v>11124495</v>
      </c>
      <c r="L21" s="25">
        <f t="shared" ref="L21:M23" si="10">+B21-G21</f>
        <v>3003183</v>
      </c>
      <c r="M21" s="25">
        <f t="shared" si="10"/>
        <v>2105976</v>
      </c>
      <c r="N21" s="25"/>
      <c r="O21" s="25">
        <f>+E21-J21</f>
        <v>174000</v>
      </c>
      <c r="P21" s="26">
        <f>SUM(L21:O21)</f>
        <v>5283159</v>
      </c>
      <c r="Q21" s="18"/>
    </row>
    <row r="22" spans="1:17" ht="12.75" customHeight="1">
      <c r="A22" s="22" t="s">
        <v>17</v>
      </c>
      <c r="B22" s="29">
        <v>901033</v>
      </c>
      <c r="C22" s="34"/>
      <c r="D22" s="34"/>
      <c r="E22" s="30"/>
      <c r="F22" s="24">
        <f>SUM(B22:E22)</f>
        <v>901033</v>
      </c>
      <c r="G22" s="31">
        <v>596466</v>
      </c>
      <c r="H22" s="39"/>
      <c r="I22" s="39"/>
      <c r="J22" s="39"/>
      <c r="K22" s="32">
        <f>SUM(G22:J22)</f>
        <v>596466</v>
      </c>
      <c r="L22" s="25">
        <f t="shared" si="10"/>
        <v>304567</v>
      </c>
      <c r="M22" s="25">
        <f t="shared" si="10"/>
        <v>0</v>
      </c>
      <c r="N22" s="25"/>
      <c r="O22" s="25">
        <f>+E22-J22</f>
        <v>0</v>
      </c>
      <c r="P22" s="26">
        <f>SUM(L22:O22)</f>
        <v>304567</v>
      </c>
      <c r="Q22" s="18"/>
    </row>
    <row r="23" spans="1:17" ht="12.75" customHeight="1">
      <c r="A23" s="22" t="s">
        <v>18</v>
      </c>
      <c r="B23" s="29">
        <v>693874</v>
      </c>
      <c r="C23" s="34"/>
      <c r="D23" s="34"/>
      <c r="E23" s="35"/>
      <c r="F23" s="24">
        <f>SUM(B23:E23)</f>
        <v>693874</v>
      </c>
      <c r="G23" s="31">
        <v>538001</v>
      </c>
      <c r="H23" s="39"/>
      <c r="I23" s="39"/>
      <c r="J23" s="39"/>
      <c r="K23" s="32">
        <f>SUM(G23:J23)</f>
        <v>538001</v>
      </c>
      <c r="L23" s="25">
        <f t="shared" si="10"/>
        <v>155873</v>
      </c>
      <c r="M23" s="25">
        <f t="shared" si="10"/>
        <v>0</v>
      </c>
      <c r="N23" s="25"/>
      <c r="O23" s="25">
        <f>+E23-J23</f>
        <v>0</v>
      </c>
      <c r="P23" s="26">
        <f>SUM(L23:O23)</f>
        <v>155873</v>
      </c>
      <c r="Q23" s="18"/>
    </row>
    <row r="24" spans="1:17" ht="12.75" customHeight="1">
      <c r="A24" s="22" t="s">
        <v>19</v>
      </c>
      <c r="B24" s="27">
        <f t="shared" ref="B24:K24" si="11">+B25+B26</f>
        <v>0</v>
      </c>
      <c r="C24" s="27">
        <f t="shared" si="11"/>
        <v>2713186</v>
      </c>
      <c r="D24" s="27">
        <f t="shared" si="11"/>
        <v>0</v>
      </c>
      <c r="E24" s="27">
        <f t="shared" si="11"/>
        <v>0</v>
      </c>
      <c r="F24" s="27">
        <f t="shared" si="11"/>
        <v>2713186</v>
      </c>
      <c r="G24" s="40">
        <f t="shared" si="11"/>
        <v>0</v>
      </c>
      <c r="H24" s="40">
        <f t="shared" si="11"/>
        <v>121799</v>
      </c>
      <c r="I24" s="40"/>
      <c r="J24" s="40">
        <f t="shared" si="11"/>
        <v>0</v>
      </c>
      <c r="K24" s="40">
        <f t="shared" si="11"/>
        <v>121799</v>
      </c>
      <c r="L24" s="27">
        <f>+L25+L26</f>
        <v>0</v>
      </c>
      <c r="M24" s="27">
        <f>+M25+M26</f>
        <v>2591387</v>
      </c>
      <c r="N24" s="27"/>
      <c r="O24" s="27">
        <f>+O25+O26</f>
        <v>0</v>
      </c>
      <c r="P24" s="28">
        <f>+P25+P26</f>
        <v>2591387</v>
      </c>
      <c r="Q24" s="18"/>
    </row>
    <row r="25" spans="1:17" ht="12.75" customHeight="1">
      <c r="A25" s="23" t="s">
        <v>20</v>
      </c>
      <c r="B25" s="29"/>
      <c r="C25" s="29">
        <v>2713186</v>
      </c>
      <c r="D25" s="29"/>
      <c r="E25" s="30">
        <f>+J25</f>
        <v>0</v>
      </c>
      <c r="F25" s="24">
        <f>SUM(B25:E25)</f>
        <v>2713186</v>
      </c>
      <c r="G25" s="31"/>
      <c r="H25" s="31">
        <v>121799</v>
      </c>
      <c r="I25" s="31"/>
      <c r="J25" s="31"/>
      <c r="K25" s="32">
        <f>SUM(G25:J25)</f>
        <v>121799</v>
      </c>
      <c r="L25" s="25">
        <f>+B25-G25</f>
        <v>0</v>
      </c>
      <c r="M25" s="25">
        <f>+C25-H25</f>
        <v>2591387</v>
      </c>
      <c r="N25" s="25"/>
      <c r="O25" s="25">
        <f>+E25-J25</f>
        <v>0</v>
      </c>
      <c r="P25" s="26">
        <f>SUM(L25:O25)</f>
        <v>2591387</v>
      </c>
      <c r="Q25" s="18"/>
    </row>
    <row r="26" spans="1:17" ht="12.75" customHeight="1">
      <c r="A26" s="23" t="s">
        <v>21</v>
      </c>
      <c r="B26" s="29"/>
      <c r="C26" s="29"/>
      <c r="D26" s="29"/>
      <c r="E26" s="30"/>
      <c r="F26" s="24">
        <f>SUM(B26:E26)</f>
        <v>0</v>
      </c>
      <c r="G26" s="31"/>
      <c r="H26" s="31"/>
      <c r="I26" s="31"/>
      <c r="J26" s="31"/>
      <c r="K26" s="32">
        <f>SUM(G26:J26)</f>
        <v>0</v>
      </c>
      <c r="L26" s="25">
        <f>+B26-G26</f>
        <v>0</v>
      </c>
      <c r="M26" s="25">
        <f>+C26-H26</f>
        <v>0</v>
      </c>
      <c r="N26" s="25"/>
      <c r="O26" s="25">
        <f>+E26-J26</f>
        <v>0</v>
      </c>
      <c r="P26" s="26">
        <f>SUM(L26:O26)</f>
        <v>0</v>
      </c>
      <c r="Q26" s="18"/>
    </row>
    <row r="27" spans="1:17" ht="12.75" customHeight="1">
      <c r="A27" s="33"/>
      <c r="B27" s="25"/>
      <c r="C27" s="25"/>
      <c r="D27" s="25"/>
      <c r="E27" s="43"/>
      <c r="F27" s="24"/>
      <c r="G27" s="47"/>
      <c r="H27" s="47"/>
      <c r="I27" s="47"/>
      <c r="J27" s="47"/>
      <c r="K27" s="32"/>
      <c r="L27" s="25"/>
      <c r="M27" s="25"/>
      <c r="N27" s="25"/>
      <c r="O27" s="25"/>
      <c r="P27" s="26"/>
      <c r="Q27" s="18"/>
    </row>
    <row r="28" spans="1:17" ht="12.75" customHeight="1">
      <c r="A28" s="33" t="s">
        <v>363</v>
      </c>
      <c r="B28" s="17">
        <f t="shared" ref="B28:K28" si="12">+B29+B33</f>
        <v>79017</v>
      </c>
      <c r="C28" s="17">
        <f t="shared" si="12"/>
        <v>131919</v>
      </c>
      <c r="D28" s="17">
        <f t="shared" si="12"/>
        <v>0</v>
      </c>
      <c r="E28" s="17">
        <f t="shared" si="12"/>
        <v>0</v>
      </c>
      <c r="F28" s="17">
        <f t="shared" si="12"/>
        <v>210936</v>
      </c>
      <c r="G28" s="37">
        <f t="shared" si="12"/>
        <v>37057</v>
      </c>
      <c r="H28" s="37">
        <f t="shared" si="12"/>
        <v>8971</v>
      </c>
      <c r="I28" s="37"/>
      <c r="J28" s="37">
        <f t="shared" si="12"/>
        <v>0</v>
      </c>
      <c r="K28" s="37">
        <f t="shared" si="12"/>
        <v>46028</v>
      </c>
      <c r="L28" s="17">
        <f>+L29+L33</f>
        <v>41960</v>
      </c>
      <c r="M28" s="17">
        <f>+M29+M33</f>
        <v>122948</v>
      </c>
      <c r="N28" s="17"/>
      <c r="O28" s="17">
        <f>+O29+O33</f>
        <v>0</v>
      </c>
      <c r="P28" s="17">
        <f>+P29+P33</f>
        <v>164908</v>
      </c>
      <c r="Q28" s="18">
        <f>+K28/F28</f>
        <v>0.2182083665187545</v>
      </c>
    </row>
    <row r="29" spans="1:17" ht="12.75" customHeight="1">
      <c r="A29" s="41" t="s">
        <v>15</v>
      </c>
      <c r="B29" s="20">
        <f t="shared" ref="B29:J29" si="13">+B30+B31+B32</f>
        <v>79017</v>
      </c>
      <c r="C29" s="20">
        <f t="shared" si="13"/>
        <v>12487</v>
      </c>
      <c r="D29" s="20">
        <f t="shared" si="13"/>
        <v>0</v>
      </c>
      <c r="E29" s="20">
        <f t="shared" si="13"/>
        <v>0</v>
      </c>
      <c r="F29" s="20">
        <f t="shared" si="13"/>
        <v>91504</v>
      </c>
      <c r="G29" s="38">
        <f t="shared" si="13"/>
        <v>37057</v>
      </c>
      <c r="H29" s="38">
        <f t="shared" si="13"/>
        <v>8971</v>
      </c>
      <c r="I29" s="38"/>
      <c r="J29" s="38">
        <f t="shared" si="13"/>
        <v>0</v>
      </c>
      <c r="K29" s="38">
        <f>+K30+K31+K32</f>
        <v>46028</v>
      </c>
      <c r="L29" s="20">
        <f>+L30+L31+L32</f>
        <v>41960</v>
      </c>
      <c r="M29" s="20">
        <f>+M30+M31+M32</f>
        <v>3516</v>
      </c>
      <c r="N29" s="20"/>
      <c r="O29" s="20">
        <f>+O30+O31+O32</f>
        <v>0</v>
      </c>
      <c r="P29" s="21">
        <f>+P30+P31+P32</f>
        <v>45476</v>
      </c>
      <c r="Q29" s="18"/>
    </row>
    <row r="30" spans="1:17" ht="12.75" customHeight="1">
      <c r="A30" s="22" t="s">
        <v>16</v>
      </c>
      <c r="B30" s="29">
        <v>75536</v>
      </c>
      <c r="C30" s="29">
        <v>12487</v>
      </c>
      <c r="D30" s="29"/>
      <c r="E30" s="30"/>
      <c r="F30" s="24">
        <f>SUM(B30:E30)</f>
        <v>88023</v>
      </c>
      <c r="G30" s="31">
        <f>37057-2179</f>
        <v>34878</v>
      </c>
      <c r="H30" s="31">
        <v>8971</v>
      </c>
      <c r="I30" s="31"/>
      <c r="J30" s="31"/>
      <c r="K30" s="32">
        <f>SUM(G30:J30)</f>
        <v>43849</v>
      </c>
      <c r="L30" s="25">
        <f t="shared" ref="L30:M32" si="14">+B30-G30</f>
        <v>40658</v>
      </c>
      <c r="M30" s="25">
        <f t="shared" si="14"/>
        <v>3516</v>
      </c>
      <c r="N30" s="25"/>
      <c r="O30" s="25">
        <f>+E30-J30</f>
        <v>0</v>
      </c>
      <c r="P30" s="26">
        <f>SUM(L30:O30)</f>
        <v>44174</v>
      </c>
      <c r="Q30" s="18"/>
    </row>
    <row r="31" spans="1:17" ht="12.75" customHeight="1">
      <c r="A31" s="22" t="s">
        <v>17</v>
      </c>
      <c r="B31" s="29">
        <v>330</v>
      </c>
      <c r="C31" s="34"/>
      <c r="D31" s="34"/>
      <c r="E31" s="30"/>
      <c r="F31" s="24">
        <f>SUM(B31:E31)</f>
        <v>330</v>
      </c>
      <c r="G31" s="31"/>
      <c r="H31" s="39"/>
      <c r="I31" s="39"/>
      <c r="J31" s="39"/>
      <c r="K31" s="32">
        <f>SUM(G31:J31)</f>
        <v>0</v>
      </c>
      <c r="L31" s="25">
        <f t="shared" si="14"/>
        <v>330</v>
      </c>
      <c r="M31" s="25">
        <f t="shared" si="14"/>
        <v>0</v>
      </c>
      <c r="N31" s="25"/>
      <c r="O31" s="25">
        <f>+E31-J31</f>
        <v>0</v>
      </c>
      <c r="P31" s="26">
        <f>SUM(L31:O31)</f>
        <v>330</v>
      </c>
      <c r="Q31" s="18"/>
    </row>
    <row r="32" spans="1:17" ht="12.75" customHeight="1">
      <c r="A32" s="22" t="s">
        <v>18</v>
      </c>
      <c r="B32" s="29">
        <v>3151</v>
      </c>
      <c r="C32" s="34"/>
      <c r="D32" s="34"/>
      <c r="E32" s="35"/>
      <c r="F32" s="24">
        <f>SUM(B32:E32)</f>
        <v>3151</v>
      </c>
      <c r="G32" s="31">
        <v>2179</v>
      </c>
      <c r="H32" s="39"/>
      <c r="I32" s="39"/>
      <c r="J32" s="39"/>
      <c r="K32" s="32">
        <f>SUM(G32:J32)</f>
        <v>2179</v>
      </c>
      <c r="L32" s="25">
        <f t="shared" si="14"/>
        <v>972</v>
      </c>
      <c r="M32" s="25">
        <f t="shared" si="14"/>
        <v>0</v>
      </c>
      <c r="N32" s="25"/>
      <c r="O32" s="25">
        <f>+E32-J32</f>
        <v>0</v>
      </c>
      <c r="P32" s="26">
        <f>SUM(L32:O32)</f>
        <v>972</v>
      </c>
      <c r="Q32" s="18"/>
    </row>
    <row r="33" spans="1:17" ht="12.75" customHeight="1">
      <c r="A33" s="22" t="s">
        <v>19</v>
      </c>
      <c r="B33" s="27">
        <f t="shared" ref="B33:K33" si="15">+B34+B35</f>
        <v>0</v>
      </c>
      <c r="C33" s="27">
        <f t="shared" si="15"/>
        <v>119432</v>
      </c>
      <c r="D33" s="27">
        <f t="shared" si="15"/>
        <v>0</v>
      </c>
      <c r="E33" s="27">
        <f t="shared" si="15"/>
        <v>0</v>
      </c>
      <c r="F33" s="27">
        <f t="shared" si="15"/>
        <v>119432</v>
      </c>
      <c r="G33" s="40">
        <f t="shared" si="15"/>
        <v>0</v>
      </c>
      <c r="H33" s="40">
        <f t="shared" si="15"/>
        <v>0</v>
      </c>
      <c r="I33" s="40"/>
      <c r="J33" s="40">
        <f t="shared" si="15"/>
        <v>0</v>
      </c>
      <c r="K33" s="40">
        <f t="shared" si="15"/>
        <v>0</v>
      </c>
      <c r="L33" s="27">
        <f>+L34+L35</f>
        <v>0</v>
      </c>
      <c r="M33" s="27">
        <f>+M34+M35</f>
        <v>119432</v>
      </c>
      <c r="N33" s="27"/>
      <c r="O33" s="27">
        <f>+O34+O35</f>
        <v>0</v>
      </c>
      <c r="P33" s="28">
        <f>+P34+P35</f>
        <v>119432</v>
      </c>
      <c r="Q33" s="18"/>
    </row>
    <row r="34" spans="1:17" ht="12.75" customHeight="1">
      <c r="A34" s="23" t="s">
        <v>20</v>
      </c>
      <c r="B34" s="29"/>
      <c r="C34" s="29">
        <v>119432</v>
      </c>
      <c r="D34" s="29"/>
      <c r="E34" s="30"/>
      <c r="F34" s="24">
        <f>SUM(B34:E34)</f>
        <v>119432</v>
      </c>
      <c r="G34" s="31"/>
      <c r="H34" s="31"/>
      <c r="I34" s="31"/>
      <c r="J34" s="31"/>
      <c r="K34" s="32">
        <f>SUM(G34:J34)</f>
        <v>0</v>
      </c>
      <c r="L34" s="25">
        <f>+B34-G34</f>
        <v>0</v>
      </c>
      <c r="M34" s="25">
        <f>+C34-H34</f>
        <v>119432</v>
      </c>
      <c r="N34" s="25"/>
      <c r="O34" s="25">
        <f>+E34-J34</f>
        <v>0</v>
      </c>
      <c r="P34" s="26">
        <f>SUM(L34:O34)</f>
        <v>119432</v>
      </c>
      <c r="Q34" s="18"/>
    </row>
    <row r="35" spans="1:17" ht="12.75" customHeight="1">
      <c r="A35" s="23" t="s">
        <v>21</v>
      </c>
      <c r="B35" s="29"/>
      <c r="C35" s="29"/>
      <c r="D35" s="29"/>
      <c r="E35" s="30"/>
      <c r="F35" s="24">
        <f>SUM(B35:E35)</f>
        <v>0</v>
      </c>
      <c r="G35" s="31"/>
      <c r="H35" s="31"/>
      <c r="I35" s="31"/>
      <c r="J35" s="31"/>
      <c r="K35" s="32">
        <f>SUM(G35:J35)</f>
        <v>0</v>
      </c>
      <c r="L35" s="25">
        <f>+B35-G35</f>
        <v>0</v>
      </c>
      <c r="M35" s="25">
        <f>+C35-H35</f>
        <v>0</v>
      </c>
      <c r="N35" s="25"/>
      <c r="O35" s="25">
        <f>+E35-J35</f>
        <v>0</v>
      </c>
      <c r="P35" s="26">
        <f>SUM(L35:O35)</f>
        <v>0</v>
      </c>
      <c r="Q35" s="18"/>
    </row>
    <row r="36" spans="1:17" ht="12.75" customHeight="1">
      <c r="A36" s="33"/>
      <c r="B36" s="25"/>
      <c r="C36" s="25"/>
      <c r="D36" s="25"/>
      <c r="E36" s="43"/>
      <c r="F36" s="24"/>
      <c r="G36" s="47"/>
      <c r="H36" s="47"/>
      <c r="I36" s="47"/>
      <c r="J36" s="47"/>
      <c r="K36" s="32"/>
      <c r="L36" s="25"/>
      <c r="M36" s="25"/>
      <c r="N36" s="25"/>
      <c r="O36" s="25"/>
      <c r="P36" s="26"/>
      <c r="Q36" s="18"/>
    </row>
    <row r="37" spans="1:17" ht="12.75" customHeight="1">
      <c r="A37" s="33" t="s">
        <v>203</v>
      </c>
      <c r="B37" s="17">
        <f t="shared" ref="B37:K37" si="16">+B38+B42</f>
        <v>198233</v>
      </c>
      <c r="C37" s="17">
        <f t="shared" si="16"/>
        <v>171421</v>
      </c>
      <c r="D37" s="17">
        <f t="shared" si="16"/>
        <v>0</v>
      </c>
      <c r="E37" s="17">
        <f t="shared" si="16"/>
        <v>92071</v>
      </c>
      <c r="F37" s="17">
        <f t="shared" si="16"/>
        <v>461725</v>
      </c>
      <c r="G37" s="17">
        <f t="shared" si="16"/>
        <v>183770</v>
      </c>
      <c r="H37" s="17">
        <f t="shared" si="16"/>
        <v>108524</v>
      </c>
      <c r="I37" s="17">
        <f t="shared" si="16"/>
        <v>0</v>
      </c>
      <c r="J37" s="17">
        <f t="shared" si="16"/>
        <v>49310</v>
      </c>
      <c r="K37" s="17">
        <f t="shared" si="16"/>
        <v>341604</v>
      </c>
      <c r="L37" s="17">
        <f>+L38+L42</f>
        <v>14463</v>
      </c>
      <c r="M37" s="17">
        <f>+M38+M42</f>
        <v>62897</v>
      </c>
      <c r="N37" s="17"/>
      <c r="O37" s="17">
        <f>+O38+O42</f>
        <v>42761</v>
      </c>
      <c r="P37" s="17">
        <f>+P38+P42</f>
        <v>120121</v>
      </c>
      <c r="Q37" s="18">
        <f>+K37/F37</f>
        <v>0.73984298012886462</v>
      </c>
    </row>
    <row r="38" spans="1:17" ht="12.75" customHeight="1">
      <c r="A38" s="41" t="s">
        <v>15</v>
      </c>
      <c r="B38" s="20">
        <f t="shared" ref="B38:K38" si="17">+B39+B40+B41</f>
        <v>198233</v>
      </c>
      <c r="C38" s="20">
        <f t="shared" si="17"/>
        <v>120986</v>
      </c>
      <c r="D38" s="20">
        <f t="shared" si="17"/>
        <v>0</v>
      </c>
      <c r="E38" s="20">
        <f t="shared" si="17"/>
        <v>89118</v>
      </c>
      <c r="F38" s="20">
        <f t="shared" si="17"/>
        <v>408337</v>
      </c>
      <c r="G38" s="20">
        <f t="shared" si="17"/>
        <v>183770</v>
      </c>
      <c r="H38" s="20">
        <f t="shared" si="17"/>
        <v>99834</v>
      </c>
      <c r="I38" s="20">
        <f t="shared" si="17"/>
        <v>0</v>
      </c>
      <c r="J38" s="20">
        <f t="shared" si="17"/>
        <v>46357</v>
      </c>
      <c r="K38" s="20">
        <f t="shared" si="17"/>
        <v>329961</v>
      </c>
      <c r="L38" s="20">
        <f>+L39+L40+L41</f>
        <v>14463</v>
      </c>
      <c r="M38" s="20">
        <f>+M39+M40+M41</f>
        <v>21152</v>
      </c>
      <c r="N38" s="20"/>
      <c r="O38" s="20">
        <f>+O39+O40+O41</f>
        <v>42761</v>
      </c>
      <c r="P38" s="21">
        <f>+P39+P40+P41</f>
        <v>78376</v>
      </c>
      <c r="Q38" s="18"/>
    </row>
    <row r="39" spans="1:17" ht="12.75" customHeight="1">
      <c r="A39" s="22" t="s">
        <v>16</v>
      </c>
      <c r="B39" s="29">
        <v>183306</v>
      </c>
      <c r="C39" s="29">
        <v>120986</v>
      </c>
      <c r="D39" s="29"/>
      <c r="E39" s="30">
        <v>89118</v>
      </c>
      <c r="F39" s="24">
        <f>SUM(B39:E39)</f>
        <v>393410</v>
      </c>
      <c r="G39" s="29">
        <f>237392-8845-56967</f>
        <v>171580</v>
      </c>
      <c r="H39" s="29">
        <f>42867+56967</f>
        <v>99834</v>
      </c>
      <c r="I39" s="29"/>
      <c r="J39" s="29">
        <v>46357</v>
      </c>
      <c r="K39" s="24">
        <f>SUM(G39:J39)</f>
        <v>317771</v>
      </c>
      <c r="L39" s="25">
        <f t="shared" ref="L39:M41" si="18">+B39-G39</f>
        <v>11726</v>
      </c>
      <c r="M39" s="25">
        <f t="shared" si="18"/>
        <v>21152</v>
      </c>
      <c r="N39" s="25"/>
      <c r="O39" s="25">
        <f>+E39-J39</f>
        <v>42761</v>
      </c>
      <c r="P39" s="26">
        <f>SUM(L39:O39)</f>
        <v>75639</v>
      </c>
      <c r="Q39" s="18"/>
    </row>
    <row r="40" spans="1:17" ht="12.75" customHeight="1">
      <c r="A40" s="22" t="s">
        <v>17</v>
      </c>
      <c r="B40" s="29">
        <v>3345</v>
      </c>
      <c r="C40" s="34"/>
      <c r="D40" s="34"/>
      <c r="E40" s="30"/>
      <c r="F40" s="24">
        <f>SUM(B40:E40)</f>
        <v>3345</v>
      </c>
      <c r="G40" s="29">
        <v>3345</v>
      </c>
      <c r="H40" s="34"/>
      <c r="I40" s="34"/>
      <c r="J40" s="34"/>
      <c r="K40" s="24">
        <f>SUM(G40:J40)</f>
        <v>3345</v>
      </c>
      <c r="L40" s="25">
        <f t="shared" si="18"/>
        <v>0</v>
      </c>
      <c r="M40" s="25">
        <f t="shared" si="18"/>
        <v>0</v>
      </c>
      <c r="N40" s="25"/>
      <c r="O40" s="25">
        <f>+E40-J40</f>
        <v>0</v>
      </c>
      <c r="P40" s="26">
        <f>SUM(L40:O40)</f>
        <v>0</v>
      </c>
      <c r="Q40" s="18"/>
    </row>
    <row r="41" spans="1:17" ht="12.75" customHeight="1">
      <c r="A41" s="22" t="s">
        <v>18</v>
      </c>
      <c r="B41" s="29">
        <v>11582</v>
      </c>
      <c r="C41" s="34"/>
      <c r="D41" s="34"/>
      <c r="E41" s="35"/>
      <c r="F41" s="24">
        <f>SUM(B41:E41)</f>
        <v>11582</v>
      </c>
      <c r="G41" s="29">
        <v>8845</v>
      </c>
      <c r="H41" s="34"/>
      <c r="I41" s="34"/>
      <c r="J41" s="34"/>
      <c r="K41" s="24">
        <f>SUM(G41:J41)</f>
        <v>8845</v>
      </c>
      <c r="L41" s="25">
        <f t="shared" si="18"/>
        <v>2737</v>
      </c>
      <c r="M41" s="25">
        <f t="shared" si="18"/>
        <v>0</v>
      </c>
      <c r="N41" s="25"/>
      <c r="O41" s="25">
        <f>+E41-J41</f>
        <v>0</v>
      </c>
      <c r="P41" s="26">
        <f>SUM(L41:O41)</f>
        <v>2737</v>
      </c>
      <c r="Q41" s="18"/>
    </row>
    <row r="42" spans="1:17" ht="12.75" customHeight="1">
      <c r="A42" s="22" t="s">
        <v>19</v>
      </c>
      <c r="B42" s="27">
        <f t="shared" ref="B42:K42" si="19">+B43+B44</f>
        <v>0</v>
      </c>
      <c r="C42" s="27">
        <f t="shared" si="19"/>
        <v>50435</v>
      </c>
      <c r="D42" s="27">
        <f t="shared" si="19"/>
        <v>0</v>
      </c>
      <c r="E42" s="27">
        <f t="shared" si="19"/>
        <v>2953</v>
      </c>
      <c r="F42" s="27">
        <f t="shared" si="19"/>
        <v>53388</v>
      </c>
      <c r="G42" s="27">
        <f t="shared" si="19"/>
        <v>0</v>
      </c>
      <c r="H42" s="27">
        <f t="shared" si="19"/>
        <v>8690</v>
      </c>
      <c r="I42" s="27">
        <f t="shared" si="19"/>
        <v>0</v>
      </c>
      <c r="J42" s="27">
        <f t="shared" si="19"/>
        <v>2953</v>
      </c>
      <c r="K42" s="27">
        <f t="shared" si="19"/>
        <v>11643</v>
      </c>
      <c r="L42" s="27">
        <f>+L43+L44</f>
        <v>0</v>
      </c>
      <c r="M42" s="27">
        <f>+M43+M44</f>
        <v>41745</v>
      </c>
      <c r="N42" s="27"/>
      <c r="O42" s="27">
        <f>+O43+O44</f>
        <v>0</v>
      </c>
      <c r="P42" s="28">
        <f>+P43+P44</f>
        <v>41745</v>
      </c>
      <c r="Q42" s="18"/>
    </row>
    <row r="43" spans="1:17" ht="12.75" customHeight="1">
      <c r="A43" s="23" t="s">
        <v>20</v>
      </c>
      <c r="B43" s="29"/>
      <c r="C43" s="29">
        <v>50435</v>
      </c>
      <c r="D43" s="29"/>
      <c r="E43" s="30">
        <f>+J43</f>
        <v>2953</v>
      </c>
      <c r="F43" s="24">
        <f>SUM(B43:E43)</f>
        <v>53388</v>
      </c>
      <c r="G43" s="29"/>
      <c r="H43" s="29">
        <f>4870+3820</f>
        <v>8690</v>
      </c>
      <c r="I43" s="29"/>
      <c r="J43" s="29">
        <v>2953</v>
      </c>
      <c r="K43" s="24">
        <f>SUM(G43:J43)</f>
        <v>11643</v>
      </c>
      <c r="L43" s="25">
        <f>+B43-G43</f>
        <v>0</v>
      </c>
      <c r="M43" s="25">
        <f>+C43-H43</f>
        <v>41745</v>
      </c>
      <c r="N43" s="25"/>
      <c r="O43" s="25">
        <f>+E43-J43</f>
        <v>0</v>
      </c>
      <c r="P43" s="26">
        <f>SUM(L43:O43)</f>
        <v>41745</v>
      </c>
      <c r="Q43" s="18"/>
    </row>
    <row r="44" spans="1:17" ht="12.75" customHeight="1">
      <c r="A44" s="23" t="s">
        <v>21</v>
      </c>
      <c r="B44" s="29"/>
      <c r="C44" s="29"/>
      <c r="D44" s="29"/>
      <c r="E44" s="30"/>
      <c r="F44" s="24">
        <f>SUM(B44:E44)</f>
        <v>0</v>
      </c>
      <c r="G44" s="29"/>
      <c r="H44" s="29"/>
      <c r="I44" s="29"/>
      <c r="J44" s="29"/>
      <c r="K44" s="24">
        <f>SUM(G44:J44)</f>
        <v>0</v>
      </c>
      <c r="L44" s="25">
        <f>+B44-G44</f>
        <v>0</v>
      </c>
      <c r="M44" s="25">
        <f>+C44-H44</f>
        <v>0</v>
      </c>
      <c r="N44" s="25"/>
      <c r="O44" s="25">
        <f>+E44-J44</f>
        <v>0</v>
      </c>
      <c r="P44" s="26">
        <f>SUM(L44:O44)</f>
        <v>0</v>
      </c>
      <c r="Q44" s="18"/>
    </row>
    <row r="45" spans="1:17" ht="12.75" customHeight="1">
      <c r="A45" s="33"/>
      <c r="B45" s="25"/>
      <c r="C45" s="25"/>
      <c r="D45" s="25"/>
      <c r="E45" s="43"/>
      <c r="F45" s="24"/>
      <c r="G45" s="25"/>
      <c r="H45" s="25"/>
      <c r="I45" s="25"/>
      <c r="J45" s="25"/>
      <c r="K45" s="24"/>
      <c r="L45" s="25"/>
      <c r="M45" s="25"/>
      <c r="N45" s="25"/>
      <c r="O45" s="25"/>
      <c r="P45" s="26"/>
      <c r="Q45" s="18"/>
    </row>
    <row r="46" spans="1:17" ht="12.75" customHeight="1">
      <c r="A46" s="33" t="s">
        <v>364</v>
      </c>
      <c r="B46" s="17">
        <f t="shared" ref="B46:F46" si="20">+B47+B51</f>
        <v>1202549</v>
      </c>
      <c r="C46" s="17">
        <f t="shared" si="20"/>
        <v>636141</v>
      </c>
      <c r="D46" s="17">
        <f t="shared" si="20"/>
        <v>0</v>
      </c>
      <c r="E46" s="17">
        <f t="shared" si="20"/>
        <v>70000</v>
      </c>
      <c r="F46" s="17">
        <f t="shared" si="20"/>
        <v>1908690</v>
      </c>
      <c r="G46" s="37">
        <f>+G47+G51</f>
        <v>860945</v>
      </c>
      <c r="H46" s="37">
        <f>+H47+H51</f>
        <v>382062</v>
      </c>
      <c r="I46" s="37"/>
      <c r="J46" s="37">
        <f>+J47+J51</f>
        <v>0</v>
      </c>
      <c r="K46" s="37">
        <f t="shared" ref="K46" si="21">+K47+K51</f>
        <v>1243007</v>
      </c>
      <c r="L46" s="17">
        <f>+L47+L51</f>
        <v>341604</v>
      </c>
      <c r="M46" s="17">
        <f>+M47+M51</f>
        <v>254079</v>
      </c>
      <c r="N46" s="17"/>
      <c r="O46" s="17">
        <f>+O47+O51</f>
        <v>70000</v>
      </c>
      <c r="P46" s="17">
        <f>+P47+P51</f>
        <v>665683</v>
      </c>
      <c r="Q46" s="18">
        <f>+K46/F46</f>
        <v>0.65123566425139756</v>
      </c>
    </row>
    <row r="47" spans="1:17" ht="12.75" customHeight="1">
      <c r="A47" s="41" t="s">
        <v>15</v>
      </c>
      <c r="B47" s="20">
        <f t="shared" ref="B47:J47" si="22">+B48+B49+B50</f>
        <v>1202549</v>
      </c>
      <c r="C47" s="20">
        <f t="shared" si="22"/>
        <v>417274</v>
      </c>
      <c r="D47" s="20">
        <f t="shared" si="22"/>
        <v>0</v>
      </c>
      <c r="E47" s="20">
        <f t="shared" si="22"/>
        <v>70000</v>
      </c>
      <c r="F47" s="20">
        <f t="shared" si="22"/>
        <v>1689823</v>
      </c>
      <c r="G47" s="38">
        <f t="shared" si="22"/>
        <v>860945</v>
      </c>
      <c r="H47" s="38">
        <f t="shared" si="22"/>
        <v>344374</v>
      </c>
      <c r="I47" s="38"/>
      <c r="J47" s="38">
        <f t="shared" si="22"/>
        <v>0</v>
      </c>
      <c r="K47" s="38">
        <f>+K48+K49+K50</f>
        <v>1205319</v>
      </c>
      <c r="L47" s="20">
        <f>+L48+L49+L50</f>
        <v>341604</v>
      </c>
      <c r="M47" s="20">
        <f>+M48+M49+M50</f>
        <v>72900</v>
      </c>
      <c r="N47" s="20"/>
      <c r="O47" s="20">
        <f>+O48+O49+O50</f>
        <v>70000</v>
      </c>
      <c r="P47" s="21">
        <f>+P48+P49+P50</f>
        <v>484504</v>
      </c>
      <c r="Q47" s="18"/>
    </row>
    <row r="48" spans="1:17" ht="12.75" customHeight="1">
      <c r="A48" s="22" t="s">
        <v>16</v>
      </c>
      <c r="B48" s="29">
        <v>938855</v>
      </c>
      <c r="C48" s="29">
        <v>417274</v>
      </c>
      <c r="D48" s="29"/>
      <c r="E48" s="30">
        <v>70000</v>
      </c>
      <c r="F48" s="24">
        <f>SUM(B48:E48)</f>
        <v>1426129</v>
      </c>
      <c r="G48" s="31">
        <f>450992-38523+56325+237346-5290</f>
        <v>700850</v>
      </c>
      <c r="H48" s="31">
        <f>202004+142370</f>
        <v>344374</v>
      </c>
      <c r="I48" s="31"/>
      <c r="J48" s="31"/>
      <c r="K48" s="32">
        <f>SUM(G48:J48)</f>
        <v>1045224</v>
      </c>
      <c r="L48" s="25">
        <f t="shared" ref="L48:M50" si="23">+B48-G48</f>
        <v>238005</v>
      </c>
      <c r="M48" s="25">
        <f t="shared" si="23"/>
        <v>72900</v>
      </c>
      <c r="N48" s="25"/>
      <c r="O48" s="25">
        <f>+E48-J48</f>
        <v>70000</v>
      </c>
      <c r="P48" s="26">
        <f>SUM(L48:O48)</f>
        <v>380905</v>
      </c>
      <c r="Q48" s="18"/>
    </row>
    <row r="49" spans="1:17" ht="12.75" customHeight="1">
      <c r="A49" s="22" t="s">
        <v>17</v>
      </c>
      <c r="B49" s="29">
        <v>200860</v>
      </c>
      <c r="C49" s="34"/>
      <c r="D49" s="34"/>
      <c r="E49" s="30"/>
      <c r="F49" s="24">
        <f>SUM(B49:E49)</f>
        <v>200860</v>
      </c>
      <c r="G49" s="31">
        <v>116282</v>
      </c>
      <c r="H49" s="39"/>
      <c r="I49" s="39"/>
      <c r="J49" s="39"/>
      <c r="K49" s="32">
        <f>SUM(G49:J49)</f>
        <v>116282</v>
      </c>
      <c r="L49" s="25">
        <f t="shared" si="23"/>
        <v>84578</v>
      </c>
      <c r="M49" s="25">
        <f t="shared" si="23"/>
        <v>0</v>
      </c>
      <c r="N49" s="25"/>
      <c r="O49" s="25">
        <f>+E49-J49</f>
        <v>0</v>
      </c>
      <c r="P49" s="26">
        <f>SUM(L49:O49)</f>
        <v>84578</v>
      </c>
      <c r="Q49" s="18"/>
    </row>
    <row r="50" spans="1:17" ht="12.75" customHeight="1">
      <c r="A50" s="22" t="s">
        <v>18</v>
      </c>
      <c r="B50" s="29">
        <v>62834</v>
      </c>
      <c r="C50" s="34"/>
      <c r="D50" s="34"/>
      <c r="E50" s="35"/>
      <c r="F50" s="24">
        <f>SUM(B50:E50)</f>
        <v>62834</v>
      </c>
      <c r="G50" s="31">
        <f>38523+5290</f>
        <v>43813</v>
      </c>
      <c r="H50" s="39"/>
      <c r="I50" s="39"/>
      <c r="J50" s="39"/>
      <c r="K50" s="32">
        <f>SUM(G50:J50)</f>
        <v>43813</v>
      </c>
      <c r="L50" s="25">
        <f t="shared" si="23"/>
        <v>19021</v>
      </c>
      <c r="M50" s="25">
        <f t="shared" si="23"/>
        <v>0</v>
      </c>
      <c r="N50" s="25"/>
      <c r="O50" s="25">
        <f>+E50-J50</f>
        <v>0</v>
      </c>
      <c r="P50" s="26">
        <f>SUM(L50:O50)</f>
        <v>19021</v>
      </c>
      <c r="Q50" s="18"/>
    </row>
    <row r="51" spans="1:17" ht="12.75" customHeight="1">
      <c r="A51" s="22" t="s">
        <v>19</v>
      </c>
      <c r="B51" s="27">
        <f t="shared" ref="B51:F51" si="24">+B52+B53</f>
        <v>0</v>
      </c>
      <c r="C51" s="27">
        <f t="shared" si="24"/>
        <v>218867</v>
      </c>
      <c r="D51" s="27">
        <f t="shared" si="24"/>
        <v>0</v>
      </c>
      <c r="E51" s="27">
        <f t="shared" si="24"/>
        <v>0</v>
      </c>
      <c r="F51" s="27">
        <f t="shared" si="24"/>
        <v>218867</v>
      </c>
      <c r="G51" s="40">
        <f>+G52+G53</f>
        <v>0</v>
      </c>
      <c r="H51" s="40">
        <f>+H52+H53</f>
        <v>37688</v>
      </c>
      <c r="I51" s="40"/>
      <c r="J51" s="40">
        <f>+J52+J53</f>
        <v>0</v>
      </c>
      <c r="K51" s="40">
        <f t="shared" ref="K51" si="25">+K52+K53</f>
        <v>37688</v>
      </c>
      <c r="L51" s="27">
        <f>+L52+L53</f>
        <v>0</v>
      </c>
      <c r="M51" s="27">
        <f>+M52+M53</f>
        <v>181179</v>
      </c>
      <c r="N51" s="27"/>
      <c r="O51" s="27">
        <f>+O52+O53</f>
        <v>0</v>
      </c>
      <c r="P51" s="28">
        <f>+P52+P53</f>
        <v>181179</v>
      </c>
      <c r="Q51" s="18"/>
    </row>
    <row r="52" spans="1:17" ht="12.75" customHeight="1">
      <c r="A52" s="23" t="s">
        <v>20</v>
      </c>
      <c r="B52" s="29"/>
      <c r="C52" s="29">
        <v>218867</v>
      </c>
      <c r="D52" s="29"/>
      <c r="E52" s="30"/>
      <c r="F52" s="24">
        <f>SUM(B52:E52)</f>
        <v>218867</v>
      </c>
      <c r="G52" s="31"/>
      <c r="H52" s="31">
        <f>746+1230+1+35711</f>
        <v>37688</v>
      </c>
      <c r="I52" s="31"/>
      <c r="J52" s="31">
        <f>4+1514+425+33294+474-35711</f>
        <v>0</v>
      </c>
      <c r="K52" s="32">
        <f>SUM(G52:J52)</f>
        <v>37688</v>
      </c>
      <c r="L52" s="25">
        <f>+B52-G52</f>
        <v>0</v>
      </c>
      <c r="M52" s="25">
        <f>+C52-H52</f>
        <v>181179</v>
      </c>
      <c r="N52" s="25"/>
      <c r="O52" s="25">
        <f>+E52-J52</f>
        <v>0</v>
      </c>
      <c r="P52" s="26">
        <f>SUM(L52:O52)</f>
        <v>181179</v>
      </c>
      <c r="Q52" s="18"/>
    </row>
    <row r="53" spans="1:17" ht="12.75" customHeight="1">
      <c r="A53" s="23" t="s">
        <v>21</v>
      </c>
      <c r="B53" s="29"/>
      <c r="C53" s="29"/>
      <c r="D53" s="29"/>
      <c r="E53" s="30"/>
      <c r="F53" s="24">
        <f>SUM(B53:E53)</f>
        <v>0</v>
      </c>
      <c r="G53" s="31"/>
      <c r="H53" s="31"/>
      <c r="I53" s="31"/>
      <c r="J53" s="31"/>
      <c r="K53" s="32">
        <f>SUM(G53:J53)</f>
        <v>0</v>
      </c>
      <c r="L53" s="25">
        <f>+B53-G53</f>
        <v>0</v>
      </c>
      <c r="M53" s="25">
        <f>+C53-H53</f>
        <v>0</v>
      </c>
      <c r="N53" s="25"/>
      <c r="O53" s="25">
        <f>+E53-J53</f>
        <v>0</v>
      </c>
      <c r="P53" s="26">
        <f>SUM(L53:O53)</f>
        <v>0</v>
      </c>
      <c r="Q53" s="18"/>
    </row>
    <row r="54" spans="1:17" ht="12.75" customHeight="1">
      <c r="A54" s="33"/>
      <c r="B54" s="25"/>
      <c r="C54" s="25"/>
      <c r="D54" s="25"/>
      <c r="E54" s="43"/>
      <c r="F54" s="24"/>
      <c r="G54" s="47"/>
      <c r="H54" s="47"/>
      <c r="I54" s="47"/>
      <c r="J54" s="47"/>
      <c r="K54" s="32"/>
      <c r="L54" s="25"/>
      <c r="M54" s="25"/>
      <c r="N54" s="25"/>
      <c r="O54" s="25"/>
      <c r="P54" s="26"/>
      <c r="Q54" s="18"/>
    </row>
    <row r="55" spans="1:17" ht="12.75" customHeight="1">
      <c r="A55" s="33" t="s">
        <v>204</v>
      </c>
      <c r="B55" s="17">
        <f t="shared" ref="B55:K55" si="26">+B56+B60</f>
        <v>190081</v>
      </c>
      <c r="C55" s="17">
        <f t="shared" si="26"/>
        <v>157772</v>
      </c>
      <c r="D55" s="17">
        <f t="shared" si="26"/>
        <v>0</v>
      </c>
      <c r="E55" s="17">
        <f t="shared" si="26"/>
        <v>3000</v>
      </c>
      <c r="F55" s="17">
        <f t="shared" si="26"/>
        <v>350853</v>
      </c>
      <c r="G55" s="17">
        <f t="shared" si="26"/>
        <v>189590</v>
      </c>
      <c r="H55" s="17">
        <f t="shared" si="26"/>
        <v>68187</v>
      </c>
      <c r="I55" s="17">
        <f t="shared" si="26"/>
        <v>0</v>
      </c>
      <c r="J55" s="17">
        <f t="shared" si="26"/>
        <v>3000</v>
      </c>
      <c r="K55" s="17">
        <f t="shared" si="26"/>
        <v>260777</v>
      </c>
      <c r="L55" s="17">
        <f>+L56+L60</f>
        <v>491</v>
      </c>
      <c r="M55" s="17">
        <f>+M56+M60</f>
        <v>89585</v>
      </c>
      <c r="N55" s="17"/>
      <c r="O55" s="17">
        <f>+O56+O60</f>
        <v>0</v>
      </c>
      <c r="P55" s="17">
        <f>+P56+P60</f>
        <v>90076</v>
      </c>
      <c r="Q55" s="18">
        <f>+K55/F55</f>
        <v>0.74326569816988886</v>
      </c>
    </row>
    <row r="56" spans="1:17" ht="12.75" customHeight="1">
      <c r="A56" s="41" t="s">
        <v>15</v>
      </c>
      <c r="B56" s="20">
        <f t="shared" ref="B56:K56" si="27">+B57+B58+B59</f>
        <v>190081</v>
      </c>
      <c r="C56" s="20">
        <f t="shared" si="27"/>
        <v>71272</v>
      </c>
      <c r="D56" s="20">
        <f t="shared" si="27"/>
        <v>0</v>
      </c>
      <c r="E56" s="20">
        <f t="shared" si="27"/>
        <v>3000</v>
      </c>
      <c r="F56" s="20">
        <f t="shared" si="27"/>
        <v>264353</v>
      </c>
      <c r="G56" s="20">
        <f t="shared" si="27"/>
        <v>189590</v>
      </c>
      <c r="H56" s="20">
        <f t="shared" si="27"/>
        <v>63716</v>
      </c>
      <c r="I56" s="20">
        <f t="shared" si="27"/>
        <v>0</v>
      </c>
      <c r="J56" s="20">
        <f t="shared" si="27"/>
        <v>3000</v>
      </c>
      <c r="K56" s="20">
        <f t="shared" si="27"/>
        <v>256306</v>
      </c>
      <c r="L56" s="20">
        <f>+L57+L58+L59</f>
        <v>491</v>
      </c>
      <c r="M56" s="20">
        <f>+M57+M58+M59</f>
        <v>7556</v>
      </c>
      <c r="N56" s="20"/>
      <c r="O56" s="20">
        <f>+O57+O58+O59</f>
        <v>0</v>
      </c>
      <c r="P56" s="21">
        <f>+P57+P58+P59</f>
        <v>8047</v>
      </c>
      <c r="Q56" s="18"/>
    </row>
    <row r="57" spans="1:17" ht="12.75" customHeight="1">
      <c r="A57" s="22" t="s">
        <v>16</v>
      </c>
      <c r="B57" s="29">
        <v>170328</v>
      </c>
      <c r="C57" s="29">
        <v>71272</v>
      </c>
      <c r="D57" s="29"/>
      <c r="E57" s="30">
        <v>3000</v>
      </c>
      <c r="F57" s="24">
        <f>SUM(B57:E57)</f>
        <v>244600</v>
      </c>
      <c r="G57" s="29">
        <f>205986-9185-26473</f>
        <v>170328</v>
      </c>
      <c r="H57" s="29">
        <f>37243+26473</f>
        <v>63716</v>
      </c>
      <c r="I57" s="29"/>
      <c r="J57" s="29">
        <v>3000</v>
      </c>
      <c r="K57" s="24">
        <f>SUM(G57:J57)</f>
        <v>237044</v>
      </c>
      <c r="L57" s="25">
        <f t="shared" ref="L57:M59" si="28">+B57-G57</f>
        <v>0</v>
      </c>
      <c r="M57" s="25">
        <f t="shared" si="28"/>
        <v>7556</v>
      </c>
      <c r="N57" s="25"/>
      <c r="O57" s="25">
        <f>+E57-J57</f>
        <v>0</v>
      </c>
      <c r="P57" s="26">
        <f>SUM(L57:O57)</f>
        <v>7556</v>
      </c>
      <c r="Q57" s="18"/>
    </row>
    <row r="58" spans="1:17" ht="12.75" customHeight="1">
      <c r="A58" s="22" t="s">
        <v>17</v>
      </c>
      <c r="B58" s="29">
        <v>9185</v>
      </c>
      <c r="C58" s="34"/>
      <c r="D58" s="34"/>
      <c r="E58" s="30"/>
      <c r="F58" s="24">
        <f>SUM(B58:E58)</f>
        <v>9185</v>
      </c>
      <c r="G58" s="29">
        <v>9185</v>
      </c>
      <c r="H58" s="34"/>
      <c r="I58" s="34"/>
      <c r="J58" s="34"/>
      <c r="K58" s="24">
        <f>SUM(G58:J58)</f>
        <v>9185</v>
      </c>
      <c r="L58" s="25">
        <f t="shared" si="28"/>
        <v>0</v>
      </c>
      <c r="M58" s="25">
        <f t="shared" si="28"/>
        <v>0</v>
      </c>
      <c r="N58" s="25"/>
      <c r="O58" s="25">
        <f>+E58-J58</f>
        <v>0</v>
      </c>
      <c r="P58" s="26">
        <f>SUM(L58:O58)</f>
        <v>0</v>
      </c>
      <c r="Q58" s="18"/>
    </row>
    <row r="59" spans="1:17" ht="12.75" customHeight="1">
      <c r="A59" s="22" t="s">
        <v>18</v>
      </c>
      <c r="B59" s="29">
        <v>10568</v>
      </c>
      <c r="C59" s="34"/>
      <c r="D59" s="34"/>
      <c r="E59" s="35"/>
      <c r="F59" s="24">
        <f>SUM(B59:E59)</f>
        <v>10568</v>
      </c>
      <c r="G59" s="29">
        <v>10077</v>
      </c>
      <c r="H59" s="34"/>
      <c r="I59" s="34"/>
      <c r="J59" s="34"/>
      <c r="K59" s="24">
        <f>SUM(G59:J59)</f>
        <v>10077</v>
      </c>
      <c r="L59" s="25">
        <f t="shared" si="28"/>
        <v>491</v>
      </c>
      <c r="M59" s="25">
        <f t="shared" si="28"/>
        <v>0</v>
      </c>
      <c r="N59" s="25"/>
      <c r="O59" s="25">
        <f>+E59-J59</f>
        <v>0</v>
      </c>
      <c r="P59" s="26">
        <f>SUM(L59:O59)</f>
        <v>491</v>
      </c>
      <c r="Q59" s="18"/>
    </row>
    <row r="60" spans="1:17" ht="12.75" customHeight="1">
      <c r="A60" s="22" t="s">
        <v>19</v>
      </c>
      <c r="B60" s="27">
        <f t="shared" ref="B60:K60" si="29">+B61+B62</f>
        <v>0</v>
      </c>
      <c r="C60" s="27">
        <f t="shared" si="29"/>
        <v>86500</v>
      </c>
      <c r="D60" s="27">
        <f t="shared" si="29"/>
        <v>0</v>
      </c>
      <c r="E60" s="27">
        <f t="shared" si="29"/>
        <v>0</v>
      </c>
      <c r="F60" s="27">
        <f t="shared" si="29"/>
        <v>86500</v>
      </c>
      <c r="G60" s="27">
        <f t="shared" si="29"/>
        <v>0</v>
      </c>
      <c r="H60" s="27">
        <f t="shared" si="29"/>
        <v>4471</v>
      </c>
      <c r="I60" s="27">
        <f t="shared" si="29"/>
        <v>0</v>
      </c>
      <c r="J60" s="27">
        <f t="shared" si="29"/>
        <v>0</v>
      </c>
      <c r="K60" s="27">
        <f t="shared" si="29"/>
        <v>4471</v>
      </c>
      <c r="L60" s="27">
        <f>+L61+L62</f>
        <v>0</v>
      </c>
      <c r="M60" s="27">
        <f>+M61+M62</f>
        <v>82029</v>
      </c>
      <c r="N60" s="27"/>
      <c r="O60" s="27">
        <f>+O61+O62</f>
        <v>0</v>
      </c>
      <c r="P60" s="28">
        <f>+P61+P62</f>
        <v>82029</v>
      </c>
      <c r="Q60" s="18"/>
    </row>
    <row r="61" spans="1:17" ht="12.75" customHeight="1">
      <c r="A61" s="23" t="s">
        <v>20</v>
      </c>
      <c r="B61" s="29"/>
      <c r="C61" s="29">
        <v>86500</v>
      </c>
      <c r="D61" s="29"/>
      <c r="E61" s="30">
        <f>+J61</f>
        <v>0</v>
      </c>
      <c r="F61" s="24">
        <f>SUM(B61:E61)</f>
        <v>86500</v>
      </c>
      <c r="G61" s="29"/>
      <c r="H61" s="29">
        <v>4471</v>
      </c>
      <c r="I61" s="29"/>
      <c r="J61" s="29"/>
      <c r="K61" s="24">
        <f>SUM(G61:J61)</f>
        <v>4471</v>
      </c>
      <c r="L61" s="25">
        <f>+B61-G61</f>
        <v>0</v>
      </c>
      <c r="M61" s="25">
        <f>+C61-H61</f>
        <v>82029</v>
      </c>
      <c r="N61" s="25"/>
      <c r="O61" s="25">
        <f>+E61-J61</f>
        <v>0</v>
      </c>
      <c r="P61" s="26">
        <f>SUM(L61:O61)</f>
        <v>82029</v>
      </c>
      <c r="Q61" s="18"/>
    </row>
    <row r="62" spans="1:17" ht="12.75" customHeight="1">
      <c r="A62" s="23" t="s">
        <v>21</v>
      </c>
      <c r="B62" s="29"/>
      <c r="C62" s="29"/>
      <c r="D62" s="29"/>
      <c r="E62" s="30"/>
      <c r="F62" s="24">
        <f>SUM(B62:E62)</f>
        <v>0</v>
      </c>
      <c r="G62" s="29"/>
      <c r="H62" s="29"/>
      <c r="I62" s="29"/>
      <c r="J62" s="29"/>
      <c r="K62" s="24">
        <f>SUM(G62:J62)</f>
        <v>0</v>
      </c>
      <c r="L62" s="25">
        <f>+B62-G62</f>
        <v>0</v>
      </c>
      <c r="M62" s="25">
        <f>+C62-H62</f>
        <v>0</v>
      </c>
      <c r="N62" s="25"/>
      <c r="O62" s="25">
        <f>+E62-J62</f>
        <v>0</v>
      </c>
      <c r="P62" s="26">
        <f>SUM(L62:O62)</f>
        <v>0</v>
      </c>
      <c r="Q62" s="18"/>
    </row>
    <row r="63" spans="1:17" ht="12.75" customHeight="1">
      <c r="A63" s="65"/>
      <c r="B63" s="44"/>
      <c r="C63" s="44"/>
      <c r="D63" s="44"/>
      <c r="E63" s="45"/>
      <c r="F63" s="77"/>
      <c r="G63" s="84"/>
      <c r="H63" s="84"/>
      <c r="I63" s="84"/>
      <c r="J63" s="84"/>
      <c r="K63" s="82"/>
      <c r="L63" s="44"/>
      <c r="M63" s="44"/>
      <c r="N63" s="44"/>
      <c r="O63" s="44"/>
      <c r="P63" s="75"/>
      <c r="Q63" s="76"/>
    </row>
    <row r="64" spans="1:17">
      <c r="A64" s="80"/>
    </row>
    <row r="65" spans="1:1">
      <c r="A65" s="80" t="s">
        <v>355</v>
      </c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  <row r="1128" spans="1:1">
      <c r="A1128" s="80"/>
    </row>
    <row r="1129" spans="1:1">
      <c r="A1129" s="80"/>
    </row>
    <row r="1130" spans="1:1">
      <c r="A1130" s="80"/>
    </row>
    <row r="1131" spans="1:1">
      <c r="A1131" s="80"/>
    </row>
    <row r="1132" spans="1:1">
      <c r="A1132" s="80"/>
    </row>
    <row r="1133" spans="1:1">
      <c r="A1133" s="80"/>
    </row>
    <row r="1134" spans="1:1">
      <c r="A1134" s="80"/>
    </row>
    <row r="1135" spans="1:1">
      <c r="A1135" s="80"/>
    </row>
    <row r="1136" spans="1:1">
      <c r="A1136" s="80"/>
    </row>
    <row r="1137" spans="1:1">
      <c r="A1137" s="80"/>
    </row>
    <row r="1138" spans="1:1">
      <c r="A1138" s="80"/>
    </row>
    <row r="1139" spans="1:1">
      <c r="A1139" s="80"/>
    </row>
    <row r="1140" spans="1:1">
      <c r="A1140" s="80"/>
    </row>
    <row r="1141" spans="1:1">
      <c r="A1141" s="80"/>
    </row>
    <row r="1142" spans="1:1">
      <c r="A1142" s="80"/>
    </row>
    <row r="1143" spans="1:1">
      <c r="A1143" s="80"/>
    </row>
    <row r="1144" spans="1:1">
      <c r="A1144" s="80"/>
    </row>
    <row r="1145" spans="1:1">
      <c r="A1145" s="80"/>
    </row>
    <row r="1146" spans="1:1">
      <c r="A1146" s="80"/>
    </row>
    <row r="1147" spans="1:1">
      <c r="A1147" s="80"/>
    </row>
    <row r="1148" spans="1:1">
      <c r="A1148" s="80"/>
    </row>
    <row r="1149" spans="1:1">
      <c r="A1149" s="80"/>
    </row>
    <row r="1150" spans="1:1">
      <c r="A1150" s="80"/>
    </row>
    <row r="1151" spans="1:1">
      <c r="A1151" s="80"/>
    </row>
    <row r="1152" spans="1:1">
      <c r="A1152" s="80"/>
    </row>
    <row r="1153" spans="1:1">
      <c r="A1153" s="80"/>
    </row>
    <row r="1154" spans="1:1">
      <c r="A1154" s="80"/>
    </row>
    <row r="1155" spans="1:1">
      <c r="A1155" s="80"/>
    </row>
    <row r="1156" spans="1:1">
      <c r="A1156" s="80"/>
    </row>
    <row r="1157" spans="1:1">
      <c r="A1157" s="80"/>
    </row>
    <row r="1158" spans="1:1">
      <c r="A1158" s="80"/>
    </row>
    <row r="1159" spans="1:1">
      <c r="A1159" s="80"/>
    </row>
    <row r="1160" spans="1:1">
      <c r="A1160" s="80"/>
    </row>
    <row r="1161" spans="1:1">
      <c r="A1161" s="80"/>
    </row>
    <row r="1162" spans="1:1">
      <c r="A1162" s="80"/>
    </row>
    <row r="1163" spans="1:1">
      <c r="A1163" s="80"/>
    </row>
    <row r="1164" spans="1:1">
      <c r="A1164" s="80"/>
    </row>
    <row r="1165" spans="1:1">
      <c r="A1165" s="80"/>
    </row>
    <row r="1166" spans="1:1">
      <c r="A1166" s="80"/>
    </row>
    <row r="1167" spans="1:1">
      <c r="A1167" s="80"/>
    </row>
    <row r="1168" spans="1:1">
      <c r="A1168" s="80"/>
    </row>
    <row r="1169" spans="1:1">
      <c r="A1169" s="80"/>
    </row>
    <row r="1170" spans="1:1">
      <c r="A1170" s="80"/>
    </row>
    <row r="1171" spans="1:1">
      <c r="A1171" s="80"/>
    </row>
    <row r="1172" spans="1:1">
      <c r="A1172" s="80"/>
    </row>
    <row r="1173" spans="1:1">
      <c r="A1173" s="80"/>
    </row>
    <row r="1174" spans="1:1">
      <c r="A1174" s="80"/>
    </row>
    <row r="1175" spans="1:1">
      <c r="A1175" s="80"/>
    </row>
    <row r="1176" spans="1:1">
      <c r="A1176" s="80"/>
    </row>
    <row r="1177" spans="1:1">
      <c r="A1177" s="80"/>
    </row>
    <row r="1178" spans="1:1">
      <c r="A1178" s="80"/>
    </row>
    <row r="1179" spans="1:1">
      <c r="A1179" s="80"/>
    </row>
    <row r="1180" spans="1:1">
      <c r="A1180" s="80"/>
    </row>
    <row r="1181" spans="1:1">
      <c r="A1181" s="80"/>
    </row>
    <row r="1182" spans="1:1">
      <c r="A1182" s="80"/>
    </row>
    <row r="1183" spans="1:1">
      <c r="A1183" s="80"/>
    </row>
    <row r="1184" spans="1:1">
      <c r="A1184" s="80"/>
    </row>
    <row r="1185" spans="1:1">
      <c r="A1185" s="80"/>
    </row>
    <row r="1186" spans="1:1">
      <c r="A1186" s="80"/>
    </row>
    <row r="1187" spans="1:1">
      <c r="A1187" s="80"/>
    </row>
    <row r="1188" spans="1:1">
      <c r="A1188" s="80"/>
    </row>
    <row r="1189" spans="1:1">
      <c r="A1189" s="80"/>
    </row>
    <row r="1190" spans="1:1">
      <c r="A1190" s="80"/>
    </row>
    <row r="1191" spans="1:1">
      <c r="A1191" s="80"/>
    </row>
    <row r="1192" spans="1:1">
      <c r="A1192" s="80"/>
    </row>
    <row r="1193" spans="1:1">
      <c r="A1193" s="80"/>
    </row>
    <row r="1194" spans="1:1">
      <c r="A1194" s="80"/>
    </row>
    <row r="1195" spans="1:1">
      <c r="A1195" s="80"/>
    </row>
    <row r="1196" spans="1:1">
      <c r="A1196" s="80"/>
    </row>
    <row r="1197" spans="1:1">
      <c r="A1197" s="80"/>
    </row>
    <row r="1198" spans="1:1">
      <c r="A1198" s="80"/>
    </row>
    <row r="1199" spans="1:1">
      <c r="A1199" s="80"/>
    </row>
    <row r="1200" spans="1:1">
      <c r="A1200" s="80"/>
    </row>
    <row r="1201" spans="1:1">
      <c r="A1201" s="80"/>
    </row>
    <row r="1202" spans="1:1">
      <c r="A1202" s="80"/>
    </row>
    <row r="1203" spans="1:1">
      <c r="A1203" s="80"/>
    </row>
    <row r="1204" spans="1:1">
      <c r="A1204" s="80"/>
    </row>
    <row r="1205" spans="1:1">
      <c r="A1205" s="80"/>
    </row>
    <row r="1206" spans="1:1">
      <c r="A1206" s="80"/>
    </row>
    <row r="1207" spans="1:1">
      <c r="A1207" s="80"/>
    </row>
    <row r="1208" spans="1:1">
      <c r="A1208" s="80"/>
    </row>
    <row r="1209" spans="1:1">
      <c r="A1209" s="80"/>
    </row>
    <row r="1210" spans="1:1">
      <c r="A1210" s="80"/>
    </row>
    <row r="1211" spans="1:1">
      <c r="A1211" s="80"/>
    </row>
    <row r="1212" spans="1:1">
      <c r="A1212" s="80"/>
    </row>
    <row r="1213" spans="1:1">
      <c r="A1213" s="80"/>
    </row>
    <row r="1214" spans="1:1">
      <c r="A1214" s="80"/>
    </row>
    <row r="1215" spans="1:1">
      <c r="A1215" s="80"/>
    </row>
    <row r="1216" spans="1:1">
      <c r="A1216" s="80"/>
    </row>
    <row r="1217" spans="1:1">
      <c r="A1217" s="80"/>
    </row>
    <row r="1218" spans="1:1">
      <c r="A1218" s="80"/>
    </row>
    <row r="1219" spans="1:1">
      <c r="A1219" s="80"/>
    </row>
    <row r="1220" spans="1:1">
      <c r="A1220" s="80"/>
    </row>
    <row r="1221" spans="1:1">
      <c r="A1221" s="80"/>
    </row>
    <row r="1222" spans="1:1">
      <c r="A1222" s="80"/>
    </row>
    <row r="1223" spans="1:1">
      <c r="A1223" s="80"/>
    </row>
    <row r="1224" spans="1:1">
      <c r="A1224" s="80"/>
    </row>
    <row r="1225" spans="1:1">
      <c r="A1225" s="80"/>
    </row>
    <row r="1226" spans="1:1">
      <c r="A1226" s="80"/>
    </row>
    <row r="1227" spans="1:1">
      <c r="A1227" s="80"/>
    </row>
    <row r="1228" spans="1:1">
      <c r="A1228" s="80"/>
    </row>
    <row r="1229" spans="1:1">
      <c r="A1229" s="80"/>
    </row>
    <row r="1230" spans="1:1">
      <c r="A1230" s="80"/>
    </row>
    <row r="1231" spans="1:1">
      <c r="A1231" s="80"/>
    </row>
    <row r="1232" spans="1:1">
      <c r="A1232" s="80"/>
    </row>
    <row r="1233" spans="1:1">
      <c r="A1233" s="80"/>
    </row>
    <row r="1234" spans="1:1">
      <c r="A1234" s="80"/>
    </row>
    <row r="1235" spans="1:1">
      <c r="A1235" s="80"/>
    </row>
    <row r="1236" spans="1:1">
      <c r="A1236" s="80"/>
    </row>
    <row r="1237" spans="1:1">
      <c r="A1237" s="80"/>
    </row>
    <row r="1238" spans="1:1">
      <c r="A1238" s="80"/>
    </row>
    <row r="1239" spans="1:1">
      <c r="A1239" s="80"/>
    </row>
    <row r="1240" spans="1:1">
      <c r="A1240" s="80"/>
    </row>
    <row r="1241" spans="1:1">
      <c r="A1241" s="80"/>
    </row>
    <row r="1242" spans="1:1">
      <c r="A1242" s="80"/>
    </row>
    <row r="1243" spans="1:1">
      <c r="A1243" s="80"/>
    </row>
    <row r="1244" spans="1:1">
      <c r="A1244" s="80"/>
    </row>
    <row r="1245" spans="1:1">
      <c r="A1245" s="80"/>
    </row>
    <row r="1246" spans="1:1">
      <c r="A1246" s="80"/>
    </row>
    <row r="1247" spans="1:1">
      <c r="A1247" s="80"/>
    </row>
    <row r="1248" spans="1:1">
      <c r="A1248" s="80"/>
    </row>
    <row r="1249" spans="1:1">
      <c r="A1249" s="80"/>
    </row>
    <row r="1250" spans="1:1">
      <c r="A1250" s="80"/>
    </row>
    <row r="1251" spans="1:1">
      <c r="A1251" s="80"/>
    </row>
    <row r="1252" spans="1:1">
      <c r="A1252" s="80"/>
    </row>
    <row r="1253" spans="1:1">
      <c r="A1253" s="80"/>
    </row>
    <row r="1254" spans="1:1">
      <c r="A1254" s="80"/>
    </row>
    <row r="1255" spans="1:1">
      <c r="A1255" s="80"/>
    </row>
    <row r="1256" spans="1:1">
      <c r="A1256" s="80"/>
    </row>
    <row r="1257" spans="1:1">
      <c r="A1257" s="80"/>
    </row>
    <row r="1258" spans="1:1">
      <c r="A1258" s="80"/>
    </row>
    <row r="1259" spans="1:1">
      <c r="A1259" s="80"/>
    </row>
    <row r="1260" spans="1:1">
      <c r="A1260" s="80"/>
    </row>
    <row r="1261" spans="1:1">
      <c r="A1261" s="80"/>
    </row>
    <row r="1262" spans="1:1">
      <c r="A1262" s="80"/>
    </row>
    <row r="1263" spans="1:1">
      <c r="A1263" s="80"/>
    </row>
    <row r="1264" spans="1:1">
      <c r="A1264" s="80"/>
    </row>
    <row r="1265" spans="1:1">
      <c r="A1265" s="80"/>
    </row>
    <row r="1266" spans="1:1">
      <c r="A1266" s="80"/>
    </row>
    <row r="1267" spans="1:1">
      <c r="A1267" s="80"/>
    </row>
    <row r="1268" spans="1:1">
      <c r="A1268" s="80"/>
    </row>
    <row r="1269" spans="1:1">
      <c r="A1269" s="80"/>
    </row>
    <row r="1270" spans="1:1">
      <c r="A1270" s="80"/>
    </row>
    <row r="1271" spans="1:1">
      <c r="A1271" s="80"/>
    </row>
    <row r="1272" spans="1:1">
      <c r="A1272" s="80"/>
    </row>
    <row r="1273" spans="1:1">
      <c r="A1273" s="80"/>
    </row>
    <row r="1274" spans="1:1">
      <c r="A1274" s="80"/>
    </row>
    <row r="1275" spans="1:1">
      <c r="A1275" s="80"/>
    </row>
    <row r="1276" spans="1:1">
      <c r="A1276" s="80"/>
    </row>
    <row r="1277" spans="1:1">
      <c r="A1277" s="80"/>
    </row>
    <row r="1278" spans="1:1">
      <c r="A1278" s="80"/>
    </row>
    <row r="1279" spans="1:1">
      <c r="A1279" s="80"/>
    </row>
    <row r="1280" spans="1:1">
      <c r="A1280" s="80"/>
    </row>
    <row r="1281" spans="1:1">
      <c r="A1281" s="80"/>
    </row>
    <row r="1282" spans="1:1">
      <c r="A1282" s="80"/>
    </row>
    <row r="1283" spans="1:1">
      <c r="A1283" s="80"/>
    </row>
    <row r="1284" spans="1:1">
      <c r="A1284" s="80"/>
    </row>
    <row r="1285" spans="1:1">
      <c r="A1285" s="80"/>
    </row>
    <row r="1286" spans="1:1">
      <c r="A1286" s="80"/>
    </row>
    <row r="1287" spans="1:1">
      <c r="A1287" s="80"/>
    </row>
    <row r="1288" spans="1:1">
      <c r="A1288" s="80"/>
    </row>
    <row r="1289" spans="1:1">
      <c r="A1289" s="80"/>
    </row>
    <row r="1290" spans="1:1">
      <c r="A1290" s="80"/>
    </row>
    <row r="1291" spans="1:1">
      <c r="A1291" s="80"/>
    </row>
    <row r="1292" spans="1:1">
      <c r="A1292" s="80"/>
    </row>
    <row r="1293" spans="1:1">
      <c r="A1293" s="80"/>
    </row>
    <row r="1294" spans="1:1">
      <c r="A1294" s="80"/>
    </row>
    <row r="1295" spans="1:1">
      <c r="A1295" s="80"/>
    </row>
    <row r="1296" spans="1:1">
      <c r="A1296" s="80"/>
    </row>
    <row r="1297" spans="1:1">
      <c r="A1297" s="80"/>
    </row>
    <row r="1298" spans="1:1">
      <c r="A1298" s="80"/>
    </row>
    <row r="1299" spans="1:1">
      <c r="A1299" s="80"/>
    </row>
    <row r="1300" spans="1:1">
      <c r="A1300" s="80"/>
    </row>
    <row r="1301" spans="1:1">
      <c r="A1301" s="80"/>
    </row>
    <row r="1302" spans="1:1">
      <c r="A1302" s="80"/>
    </row>
    <row r="1303" spans="1:1">
      <c r="A1303" s="80"/>
    </row>
    <row r="1304" spans="1:1">
      <c r="A1304" s="80"/>
    </row>
    <row r="1305" spans="1:1">
      <c r="A1305" s="80"/>
    </row>
    <row r="1306" spans="1:1">
      <c r="A1306" s="80"/>
    </row>
    <row r="1307" spans="1:1">
      <c r="A1307" s="80"/>
    </row>
    <row r="1308" spans="1:1">
      <c r="A1308" s="80"/>
    </row>
    <row r="1309" spans="1:1">
      <c r="A1309" s="80"/>
    </row>
    <row r="1310" spans="1:1">
      <c r="A1310" s="80"/>
    </row>
    <row r="1311" spans="1:1">
      <c r="A1311" s="80"/>
    </row>
    <row r="1312" spans="1:1">
      <c r="A1312" s="80"/>
    </row>
    <row r="1313" spans="1:1">
      <c r="A1313" s="80"/>
    </row>
    <row r="1314" spans="1:1">
      <c r="A1314" s="80"/>
    </row>
    <row r="1315" spans="1:1">
      <c r="A1315" s="80"/>
    </row>
    <row r="1316" spans="1:1">
      <c r="A1316" s="80"/>
    </row>
    <row r="1317" spans="1:1">
      <c r="A1317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1"/>
  <pageSetup paperSize="9" scale="65" fitToWidth="0" fitToHeight="0" orientation="landscape" r:id="rId1"/>
  <headerFooter alignWithMargins="0">
    <oddFooter>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R1238"/>
  <sheetViews>
    <sheetView showRuler="0" zoomScaleSheetLayoutView="100" workbookViewId="0">
      <pane xSplit="1" ySplit="8" topLeftCell="B21" activePane="bottomRight" state="frozen"/>
      <selection activeCell="A155" sqref="A155:Q155"/>
      <selection pane="topRight" activeCell="A155" sqref="A155:Q155"/>
      <selection pane="bottomLeft" activeCell="A155" sqref="A155:Q155"/>
      <selection pane="bottomRight" activeCell="A155" sqref="A155:Q155"/>
    </sheetView>
  </sheetViews>
  <sheetFormatPr defaultRowHeight="12.75"/>
  <cols>
    <col min="1" max="1" width="32.57031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205</v>
      </c>
      <c r="B10" s="17">
        <f t="shared" ref="B10:P10" si="0">+B11+B15</f>
        <v>855747</v>
      </c>
      <c r="C10" s="17">
        <f t="shared" si="0"/>
        <v>232833</v>
      </c>
      <c r="D10" s="17"/>
      <c r="E10" s="17">
        <f t="shared" si="0"/>
        <v>220403</v>
      </c>
      <c r="F10" s="17">
        <f t="shared" si="0"/>
        <v>1308983</v>
      </c>
      <c r="G10" s="17">
        <f t="shared" si="0"/>
        <v>855747</v>
      </c>
      <c r="H10" s="17">
        <f t="shared" si="0"/>
        <v>231314</v>
      </c>
      <c r="I10" s="17"/>
      <c r="J10" s="17">
        <f t="shared" si="0"/>
        <v>207749</v>
      </c>
      <c r="K10" s="17">
        <f t="shared" si="0"/>
        <v>1294810</v>
      </c>
      <c r="L10" s="17">
        <f t="shared" si="0"/>
        <v>0</v>
      </c>
      <c r="M10" s="17">
        <f t="shared" si="0"/>
        <v>1519</v>
      </c>
      <c r="N10" s="17"/>
      <c r="O10" s="17">
        <f t="shared" si="0"/>
        <v>12654</v>
      </c>
      <c r="P10" s="17">
        <f t="shared" si="0"/>
        <v>14173</v>
      </c>
      <c r="Q10" s="18">
        <f>+K10/F10</f>
        <v>0.98917251026178343</v>
      </c>
    </row>
    <row r="11" spans="1:18" ht="12.75" customHeight="1">
      <c r="A11" s="41" t="s">
        <v>15</v>
      </c>
      <c r="B11" s="20">
        <f t="shared" ref="B11:P11" si="1">+B12+B13+B14</f>
        <v>855747</v>
      </c>
      <c r="C11" s="20">
        <f t="shared" si="1"/>
        <v>231585</v>
      </c>
      <c r="D11" s="20"/>
      <c r="E11" s="20">
        <f t="shared" si="1"/>
        <v>217477</v>
      </c>
      <c r="F11" s="20">
        <f t="shared" si="1"/>
        <v>1304809</v>
      </c>
      <c r="G11" s="20">
        <f t="shared" si="1"/>
        <v>855747</v>
      </c>
      <c r="H11" s="20">
        <f t="shared" si="1"/>
        <v>231094</v>
      </c>
      <c r="I11" s="20"/>
      <c r="J11" s="20">
        <f t="shared" si="1"/>
        <v>204829</v>
      </c>
      <c r="K11" s="20">
        <f t="shared" si="1"/>
        <v>1291670</v>
      </c>
      <c r="L11" s="20">
        <f t="shared" si="1"/>
        <v>0</v>
      </c>
      <c r="M11" s="20">
        <f t="shared" si="1"/>
        <v>491</v>
      </c>
      <c r="N11" s="20"/>
      <c r="O11" s="20">
        <f t="shared" si="1"/>
        <v>12648</v>
      </c>
      <c r="P11" s="21">
        <f t="shared" si="1"/>
        <v>13139</v>
      </c>
      <c r="Q11" s="18"/>
    </row>
    <row r="12" spans="1:18" ht="12.75" customHeight="1">
      <c r="A12" s="22" t="s">
        <v>16</v>
      </c>
      <c r="B12" s="23">
        <f t="shared" ref="B12:E14" si="2">+B21+B30</f>
        <v>764291</v>
      </c>
      <c r="C12" s="23">
        <f t="shared" si="2"/>
        <v>231585</v>
      </c>
      <c r="D12" s="23"/>
      <c r="E12" s="23">
        <f t="shared" si="2"/>
        <v>217477</v>
      </c>
      <c r="F12" s="24">
        <f>SUM(B12:E12)</f>
        <v>1213353</v>
      </c>
      <c r="G12" s="23">
        <f t="shared" ref="G12:J14" si="3">+G21+G30</f>
        <v>764291</v>
      </c>
      <c r="H12" s="23">
        <f t="shared" si="3"/>
        <v>231094</v>
      </c>
      <c r="I12" s="23"/>
      <c r="J12" s="23">
        <f t="shared" si="3"/>
        <v>204829</v>
      </c>
      <c r="K12" s="24">
        <f>SUM(G12:J12)</f>
        <v>1200214</v>
      </c>
      <c r="L12" s="25">
        <f t="shared" ref="L12:M14" si="4">+B12-G12</f>
        <v>0</v>
      </c>
      <c r="M12" s="25">
        <f t="shared" si="4"/>
        <v>491</v>
      </c>
      <c r="N12" s="25"/>
      <c r="O12" s="25">
        <f>+E12-J12</f>
        <v>12648</v>
      </c>
      <c r="P12" s="26">
        <f>SUM(L12:O12)</f>
        <v>13139</v>
      </c>
      <c r="Q12" s="18"/>
    </row>
    <row r="13" spans="1:18" ht="12.75" customHeight="1">
      <c r="A13" s="22" t="s">
        <v>17</v>
      </c>
      <c r="B13" s="23">
        <f t="shared" si="2"/>
        <v>30779</v>
      </c>
      <c r="C13" s="23">
        <f t="shared" si="2"/>
        <v>0</v>
      </c>
      <c r="D13" s="23"/>
      <c r="E13" s="23">
        <f t="shared" si="2"/>
        <v>0</v>
      </c>
      <c r="F13" s="24">
        <f>SUM(B13:E13)</f>
        <v>30779</v>
      </c>
      <c r="G13" s="23">
        <f t="shared" si="3"/>
        <v>30779</v>
      </c>
      <c r="H13" s="23">
        <f t="shared" si="3"/>
        <v>0</v>
      </c>
      <c r="I13" s="23"/>
      <c r="J13" s="23">
        <f t="shared" si="3"/>
        <v>0</v>
      </c>
      <c r="K13" s="24">
        <f>SUM(G13:J13)</f>
        <v>30779</v>
      </c>
      <c r="L13" s="25">
        <f t="shared" si="4"/>
        <v>0</v>
      </c>
      <c r="M13" s="25">
        <f t="shared" si="4"/>
        <v>0</v>
      </c>
      <c r="N13" s="25"/>
      <c r="O13" s="25">
        <f>+E13-J13</f>
        <v>0</v>
      </c>
      <c r="P13" s="26">
        <f>SUM(L13:O13)</f>
        <v>0</v>
      </c>
      <c r="Q13" s="18"/>
    </row>
    <row r="14" spans="1:18" ht="12.75" customHeight="1">
      <c r="A14" s="22" t="s">
        <v>18</v>
      </c>
      <c r="B14" s="23">
        <f t="shared" si="2"/>
        <v>60677</v>
      </c>
      <c r="C14" s="23">
        <f t="shared" si="2"/>
        <v>0</v>
      </c>
      <c r="D14" s="23"/>
      <c r="E14" s="23">
        <f t="shared" si="2"/>
        <v>0</v>
      </c>
      <c r="F14" s="24">
        <f>SUM(B14:E14)</f>
        <v>60677</v>
      </c>
      <c r="G14" s="23">
        <f t="shared" si="3"/>
        <v>60677</v>
      </c>
      <c r="H14" s="23">
        <f t="shared" si="3"/>
        <v>0</v>
      </c>
      <c r="I14" s="23"/>
      <c r="J14" s="23">
        <f t="shared" si="3"/>
        <v>0</v>
      </c>
      <c r="K14" s="24">
        <f>SUM(G14:J14)</f>
        <v>60677</v>
      </c>
      <c r="L14" s="25">
        <f t="shared" si="4"/>
        <v>0</v>
      </c>
      <c r="M14" s="25">
        <f t="shared" si="4"/>
        <v>0</v>
      </c>
      <c r="N14" s="25"/>
      <c r="O14" s="25">
        <f>+E14-J14</f>
        <v>0</v>
      </c>
      <c r="P14" s="26">
        <f>SUM(L14:O14)</f>
        <v>0</v>
      </c>
      <c r="Q14" s="18"/>
    </row>
    <row r="15" spans="1:18" ht="12.75" customHeight="1">
      <c r="A15" s="22" t="s">
        <v>19</v>
      </c>
      <c r="B15" s="44">
        <f t="shared" ref="B15:P15" si="5">+B16+B17</f>
        <v>0</v>
      </c>
      <c r="C15" s="44">
        <f t="shared" si="5"/>
        <v>1248</v>
      </c>
      <c r="D15" s="44"/>
      <c r="E15" s="45">
        <f t="shared" si="5"/>
        <v>2926</v>
      </c>
      <c r="F15" s="44">
        <f t="shared" si="5"/>
        <v>4174</v>
      </c>
      <c r="G15" s="44">
        <f t="shared" si="5"/>
        <v>0</v>
      </c>
      <c r="H15" s="44">
        <f t="shared" si="5"/>
        <v>220</v>
      </c>
      <c r="I15" s="44"/>
      <c r="J15" s="45">
        <f t="shared" si="5"/>
        <v>2920</v>
      </c>
      <c r="K15" s="44">
        <f t="shared" si="5"/>
        <v>3140</v>
      </c>
      <c r="L15" s="44">
        <f t="shared" si="5"/>
        <v>0</v>
      </c>
      <c r="M15" s="44">
        <f t="shared" si="5"/>
        <v>1028</v>
      </c>
      <c r="N15" s="44"/>
      <c r="O15" s="44">
        <f t="shared" si="5"/>
        <v>6</v>
      </c>
      <c r="P15" s="45">
        <f t="shared" si="5"/>
        <v>1034</v>
      </c>
      <c r="Q15" s="18"/>
    </row>
    <row r="16" spans="1:18" ht="12.75" customHeight="1">
      <c r="A16" s="23" t="s">
        <v>20</v>
      </c>
      <c r="B16" s="23">
        <f t="shared" ref="B16:E17" si="6">+B25+B34</f>
        <v>0</v>
      </c>
      <c r="C16" s="23">
        <f t="shared" si="6"/>
        <v>1248</v>
      </c>
      <c r="D16" s="23"/>
      <c r="E16" s="23">
        <f t="shared" si="6"/>
        <v>2926</v>
      </c>
      <c r="F16" s="24">
        <f>SUM(B16:E16)</f>
        <v>4174</v>
      </c>
      <c r="G16" s="23">
        <f t="shared" ref="G16:J17" si="7">+G25+G34</f>
        <v>0</v>
      </c>
      <c r="H16" s="23">
        <f t="shared" si="7"/>
        <v>220</v>
      </c>
      <c r="I16" s="23"/>
      <c r="J16" s="23">
        <f t="shared" si="7"/>
        <v>2920</v>
      </c>
      <c r="K16" s="24">
        <f>SUM(G16:J16)</f>
        <v>3140</v>
      </c>
      <c r="L16" s="25">
        <f>+B16-G16</f>
        <v>0</v>
      </c>
      <c r="M16" s="25">
        <f>+C16-H16</f>
        <v>1028</v>
      </c>
      <c r="N16" s="25"/>
      <c r="O16" s="25">
        <f>+E16-J16</f>
        <v>6</v>
      </c>
      <c r="P16" s="26">
        <f>SUM(L16:O16)</f>
        <v>1034</v>
      </c>
      <c r="Q16" s="18"/>
    </row>
    <row r="17" spans="1:18" ht="12.75" customHeight="1">
      <c r="A17" s="23" t="s">
        <v>21</v>
      </c>
      <c r="B17" s="23">
        <f t="shared" si="6"/>
        <v>0</v>
      </c>
      <c r="C17" s="23">
        <f t="shared" si="6"/>
        <v>0</v>
      </c>
      <c r="D17" s="23"/>
      <c r="E17" s="23">
        <f t="shared" si="6"/>
        <v>0</v>
      </c>
      <c r="F17" s="24">
        <f>SUM(B17:E17)</f>
        <v>0</v>
      </c>
      <c r="G17" s="23">
        <f t="shared" si="7"/>
        <v>0</v>
      </c>
      <c r="H17" s="23">
        <f t="shared" si="7"/>
        <v>0</v>
      </c>
      <c r="I17" s="23"/>
      <c r="J17" s="23">
        <f t="shared" si="7"/>
        <v>0</v>
      </c>
      <c r="K17" s="24">
        <f>SUM(G17:J17)</f>
        <v>0</v>
      </c>
      <c r="L17" s="25">
        <f>+B17-G17</f>
        <v>0</v>
      </c>
      <c r="M17" s="25">
        <f>+C17-H17</f>
        <v>0</v>
      </c>
      <c r="N17" s="25"/>
      <c r="O17" s="25">
        <f>+E17-J17</f>
        <v>0</v>
      </c>
      <c r="P17" s="26">
        <f>SUM(L17:O17)</f>
        <v>0</v>
      </c>
      <c r="Q17" s="18"/>
    </row>
    <row r="18" spans="1:18" ht="12.75" customHeight="1">
      <c r="A18" s="53"/>
      <c r="B18" s="24"/>
      <c r="C18" s="24"/>
      <c r="D18" s="24"/>
      <c r="E18" s="24"/>
      <c r="F18" s="24"/>
      <c r="G18" s="32"/>
      <c r="H18" s="32"/>
      <c r="I18" s="32"/>
      <c r="J18" s="32"/>
      <c r="K18" s="32"/>
      <c r="L18" s="24"/>
      <c r="M18" s="24"/>
      <c r="N18" s="24"/>
      <c r="O18" s="24"/>
      <c r="P18" s="26"/>
      <c r="Q18" s="18"/>
    </row>
    <row r="19" spans="1:18" ht="12.75" customHeight="1">
      <c r="A19" s="33" t="s">
        <v>206</v>
      </c>
      <c r="B19" s="17">
        <f t="shared" ref="B19:K19" si="8">+B20+B24</f>
        <v>828177</v>
      </c>
      <c r="C19" s="17">
        <f t="shared" si="8"/>
        <v>196609</v>
      </c>
      <c r="D19" s="17">
        <f t="shared" si="8"/>
        <v>0</v>
      </c>
      <c r="E19" s="17">
        <f t="shared" si="8"/>
        <v>201041</v>
      </c>
      <c r="F19" s="17">
        <f t="shared" si="8"/>
        <v>1225827</v>
      </c>
      <c r="G19" s="17">
        <f t="shared" si="8"/>
        <v>828177</v>
      </c>
      <c r="H19" s="17">
        <f t="shared" si="8"/>
        <v>196609</v>
      </c>
      <c r="I19" s="17">
        <f t="shared" si="8"/>
        <v>0</v>
      </c>
      <c r="J19" s="17">
        <f t="shared" si="8"/>
        <v>201041</v>
      </c>
      <c r="K19" s="17">
        <f t="shared" si="8"/>
        <v>1225827</v>
      </c>
      <c r="L19" s="17">
        <f>+L20+L24</f>
        <v>0</v>
      </c>
      <c r="M19" s="17">
        <f>+M20+M24</f>
        <v>0</v>
      </c>
      <c r="N19" s="17"/>
      <c r="O19" s="17">
        <f>+O20+O24</f>
        <v>0</v>
      </c>
      <c r="P19" s="17">
        <f>+P20+P24</f>
        <v>0</v>
      </c>
      <c r="Q19" s="18">
        <f>+K19/F19</f>
        <v>1</v>
      </c>
    </row>
    <row r="20" spans="1:18" ht="12.75" customHeight="1">
      <c r="A20" s="41" t="s">
        <v>15</v>
      </c>
      <c r="B20" s="20">
        <f t="shared" ref="B20:K20" si="9">+B21+B22+B23</f>
        <v>828177</v>
      </c>
      <c r="C20" s="20">
        <f t="shared" si="9"/>
        <v>196609</v>
      </c>
      <c r="D20" s="20">
        <f t="shared" si="9"/>
        <v>0</v>
      </c>
      <c r="E20" s="20">
        <f t="shared" si="9"/>
        <v>201041</v>
      </c>
      <c r="F20" s="20">
        <f t="shared" si="9"/>
        <v>1225827</v>
      </c>
      <c r="G20" s="20">
        <f t="shared" si="9"/>
        <v>828177</v>
      </c>
      <c r="H20" s="20">
        <f t="shared" si="9"/>
        <v>196609</v>
      </c>
      <c r="I20" s="20">
        <f t="shared" si="9"/>
        <v>0</v>
      </c>
      <c r="J20" s="20">
        <f t="shared" si="9"/>
        <v>201041</v>
      </c>
      <c r="K20" s="20">
        <f t="shared" si="9"/>
        <v>1225827</v>
      </c>
      <c r="L20" s="20">
        <f>+L21+L22+L23</f>
        <v>0</v>
      </c>
      <c r="M20" s="20">
        <f>+M21+M22+M23</f>
        <v>0</v>
      </c>
      <c r="N20" s="20"/>
      <c r="O20" s="20">
        <f>+O21+O22+O23</f>
        <v>0</v>
      </c>
      <c r="P20" s="21">
        <f>+P21+P22+P23</f>
        <v>0</v>
      </c>
      <c r="Q20" s="18"/>
      <c r="R20" s="73"/>
    </row>
    <row r="21" spans="1:18" ht="12.75" customHeight="1">
      <c r="A21" s="22" t="s">
        <v>16</v>
      </c>
      <c r="B21" s="29">
        <v>739640</v>
      </c>
      <c r="C21" s="29">
        <v>196609</v>
      </c>
      <c r="D21" s="29"/>
      <c r="E21" s="30">
        <v>201041</v>
      </c>
      <c r="F21" s="24">
        <f>SUM(B21:E21)</f>
        <v>1137290</v>
      </c>
      <c r="G21" s="29">
        <v>739640</v>
      </c>
      <c r="H21" s="29">
        <v>196609</v>
      </c>
      <c r="I21" s="29"/>
      <c r="J21" s="30">
        <v>201041</v>
      </c>
      <c r="K21" s="24">
        <f>SUM(G21:J21)</f>
        <v>1137290</v>
      </c>
      <c r="L21" s="25">
        <f t="shared" ref="L21:M23" si="10">+B21-G21</f>
        <v>0</v>
      </c>
      <c r="M21" s="25">
        <f t="shared" si="10"/>
        <v>0</v>
      </c>
      <c r="N21" s="25"/>
      <c r="O21" s="25">
        <f>+E21-J21</f>
        <v>0</v>
      </c>
      <c r="P21" s="26">
        <f>SUM(L21:O21)</f>
        <v>0</v>
      </c>
      <c r="Q21" s="18"/>
    </row>
    <row r="22" spans="1:18" ht="12.75" customHeight="1">
      <c r="A22" s="22" t="s">
        <v>17</v>
      </c>
      <c r="B22" s="29">
        <v>30061</v>
      </c>
      <c r="C22" s="29"/>
      <c r="D22" s="29"/>
      <c r="E22" s="30"/>
      <c r="F22" s="24">
        <f>SUM(B22:E22)</f>
        <v>30061</v>
      </c>
      <c r="G22" s="29">
        <v>30061</v>
      </c>
      <c r="H22" s="29"/>
      <c r="I22" s="29"/>
      <c r="J22" s="30"/>
      <c r="K22" s="24">
        <f>SUM(G22:J22)</f>
        <v>30061</v>
      </c>
      <c r="L22" s="25">
        <f t="shared" si="10"/>
        <v>0</v>
      </c>
      <c r="M22" s="25">
        <f t="shared" si="10"/>
        <v>0</v>
      </c>
      <c r="N22" s="25"/>
      <c r="O22" s="25">
        <f>+E22-J22</f>
        <v>0</v>
      </c>
      <c r="P22" s="26">
        <f>SUM(L22:O22)</f>
        <v>0</v>
      </c>
      <c r="Q22" s="18"/>
    </row>
    <row r="23" spans="1:18" ht="12.75" customHeight="1">
      <c r="A23" s="22" t="s">
        <v>18</v>
      </c>
      <c r="B23" s="29">
        <v>58476</v>
      </c>
      <c r="C23" s="34"/>
      <c r="D23" s="34"/>
      <c r="E23" s="35"/>
      <c r="F23" s="24">
        <f>SUM(B23:E23)</f>
        <v>58476</v>
      </c>
      <c r="G23" s="29">
        <v>58476</v>
      </c>
      <c r="H23" s="34"/>
      <c r="I23" s="34"/>
      <c r="J23" s="35"/>
      <c r="K23" s="24">
        <f>SUM(G23:J23)</f>
        <v>58476</v>
      </c>
      <c r="L23" s="25">
        <f t="shared" si="10"/>
        <v>0</v>
      </c>
      <c r="M23" s="25">
        <f t="shared" si="10"/>
        <v>0</v>
      </c>
      <c r="N23" s="25"/>
      <c r="O23" s="25">
        <f>+E23-J23</f>
        <v>0</v>
      </c>
      <c r="P23" s="26">
        <f>SUM(L23:O23)</f>
        <v>0</v>
      </c>
      <c r="Q23" s="18"/>
    </row>
    <row r="24" spans="1:18" ht="12.75" customHeight="1">
      <c r="A24" s="22" t="s">
        <v>19</v>
      </c>
      <c r="B24" s="27">
        <f t="shared" ref="B24:K24" si="11">+B25+B26</f>
        <v>0</v>
      </c>
      <c r="C24" s="27">
        <f t="shared" si="11"/>
        <v>0</v>
      </c>
      <c r="D24" s="27">
        <f t="shared" si="11"/>
        <v>0</v>
      </c>
      <c r="E24" s="27">
        <f t="shared" si="11"/>
        <v>0</v>
      </c>
      <c r="F24" s="27">
        <f t="shared" si="11"/>
        <v>0</v>
      </c>
      <c r="G24" s="27">
        <v>0</v>
      </c>
      <c r="H24" s="27">
        <v>0</v>
      </c>
      <c r="I24" s="27">
        <v>0</v>
      </c>
      <c r="J24" s="27">
        <f t="shared" si="11"/>
        <v>0</v>
      </c>
      <c r="K24" s="27">
        <f t="shared" si="11"/>
        <v>0</v>
      </c>
      <c r="L24" s="27">
        <f>+L25+L26</f>
        <v>0</v>
      </c>
      <c r="M24" s="27">
        <f>+M25+M26</f>
        <v>0</v>
      </c>
      <c r="N24" s="27"/>
      <c r="O24" s="27">
        <f>+O25+O26</f>
        <v>0</v>
      </c>
      <c r="P24" s="28">
        <f>+P25+P26</f>
        <v>0</v>
      </c>
      <c r="Q24" s="18"/>
    </row>
    <row r="25" spans="1:18" ht="12.75" customHeight="1">
      <c r="A25" s="23" t="s">
        <v>20</v>
      </c>
      <c r="B25" s="29"/>
      <c r="C25" s="29"/>
      <c r="D25" s="29"/>
      <c r="E25" s="30"/>
      <c r="F25" s="24">
        <f>SUM(B25:E25)</f>
        <v>0</v>
      </c>
      <c r="G25" s="29"/>
      <c r="H25" s="29"/>
      <c r="I25" s="29"/>
      <c r="J25" s="29"/>
      <c r="K25" s="24">
        <f>SUM(G25:J25)</f>
        <v>0</v>
      </c>
      <c r="L25" s="25">
        <f>+B25-G25</f>
        <v>0</v>
      </c>
      <c r="M25" s="25">
        <f>+C25-H25</f>
        <v>0</v>
      </c>
      <c r="N25" s="25"/>
      <c r="O25" s="25">
        <f>+E25-J25</f>
        <v>0</v>
      </c>
      <c r="P25" s="26">
        <f>SUM(L25:O25)</f>
        <v>0</v>
      </c>
      <c r="Q25" s="18"/>
    </row>
    <row r="26" spans="1:18" ht="12.75" customHeight="1">
      <c r="A26" s="23" t="s">
        <v>21</v>
      </c>
      <c r="B26" s="29"/>
      <c r="C26" s="29"/>
      <c r="D26" s="29"/>
      <c r="E26" s="30"/>
      <c r="F26" s="24">
        <f>SUM(B26:E26)</f>
        <v>0</v>
      </c>
      <c r="G26" s="29"/>
      <c r="H26" s="29"/>
      <c r="I26" s="29"/>
      <c r="J26" s="29"/>
      <c r="K26" s="24">
        <f>SUM(G26:J26)</f>
        <v>0</v>
      </c>
      <c r="L26" s="25">
        <f>+B26-G26</f>
        <v>0</v>
      </c>
      <c r="M26" s="25">
        <f>+C26-H26</f>
        <v>0</v>
      </c>
      <c r="N26" s="25"/>
      <c r="O26" s="25">
        <f>+E26-J26</f>
        <v>0</v>
      </c>
      <c r="P26" s="26">
        <f>SUM(L26:O26)</f>
        <v>0</v>
      </c>
      <c r="Q26" s="18"/>
    </row>
    <row r="27" spans="1:18" ht="12.75" customHeight="1">
      <c r="A27" s="33"/>
      <c r="B27" s="24"/>
      <c r="C27" s="24"/>
      <c r="D27" s="24"/>
      <c r="E27" s="24"/>
      <c r="F27" s="24"/>
      <c r="G27" s="32"/>
      <c r="H27" s="32"/>
      <c r="I27" s="32"/>
      <c r="J27" s="32"/>
      <c r="K27" s="32"/>
      <c r="L27" s="24"/>
      <c r="M27" s="24"/>
      <c r="N27" s="24"/>
      <c r="O27" s="24"/>
      <c r="P27" s="26"/>
      <c r="Q27" s="18"/>
    </row>
    <row r="28" spans="1:18" ht="12.75" customHeight="1">
      <c r="A28" s="33" t="s">
        <v>207</v>
      </c>
      <c r="B28" s="17">
        <f t="shared" ref="B28:K28" si="12">+B29+B33</f>
        <v>27570</v>
      </c>
      <c r="C28" s="17">
        <f t="shared" si="12"/>
        <v>36224</v>
      </c>
      <c r="D28" s="17">
        <f t="shared" si="12"/>
        <v>0</v>
      </c>
      <c r="E28" s="17">
        <f t="shared" si="12"/>
        <v>19362</v>
      </c>
      <c r="F28" s="17">
        <f t="shared" si="12"/>
        <v>83156</v>
      </c>
      <c r="G28" s="17">
        <f t="shared" si="12"/>
        <v>27570</v>
      </c>
      <c r="H28" s="17">
        <f t="shared" si="12"/>
        <v>34705</v>
      </c>
      <c r="I28" s="17">
        <f t="shared" si="12"/>
        <v>0</v>
      </c>
      <c r="J28" s="17">
        <f t="shared" si="12"/>
        <v>6708</v>
      </c>
      <c r="K28" s="17">
        <f t="shared" si="12"/>
        <v>68983</v>
      </c>
      <c r="L28" s="17">
        <f>+L29+L33</f>
        <v>0</v>
      </c>
      <c r="M28" s="17">
        <f>+M29+M33</f>
        <v>1519</v>
      </c>
      <c r="N28" s="17"/>
      <c r="O28" s="17">
        <f>+O29+O33</f>
        <v>12654</v>
      </c>
      <c r="P28" s="17">
        <f>+P29+P33</f>
        <v>14173</v>
      </c>
      <c r="Q28" s="18">
        <f>+K28/F28</f>
        <v>0.82956130646014714</v>
      </c>
    </row>
    <row r="29" spans="1:18" ht="12.75" customHeight="1">
      <c r="A29" s="41" t="s">
        <v>15</v>
      </c>
      <c r="B29" s="20">
        <f t="shared" ref="B29:K29" si="13">+B30+B31+B32</f>
        <v>27570</v>
      </c>
      <c r="C29" s="20">
        <f t="shared" si="13"/>
        <v>34976</v>
      </c>
      <c r="D29" s="20">
        <f t="shared" si="13"/>
        <v>0</v>
      </c>
      <c r="E29" s="20">
        <f t="shared" si="13"/>
        <v>16436</v>
      </c>
      <c r="F29" s="20">
        <f t="shared" si="13"/>
        <v>78982</v>
      </c>
      <c r="G29" s="20">
        <f t="shared" si="13"/>
        <v>27570</v>
      </c>
      <c r="H29" s="20">
        <f t="shared" si="13"/>
        <v>34485</v>
      </c>
      <c r="I29" s="20">
        <f t="shared" si="13"/>
        <v>0</v>
      </c>
      <c r="J29" s="20">
        <f t="shared" si="13"/>
        <v>3788</v>
      </c>
      <c r="K29" s="20">
        <f t="shared" si="13"/>
        <v>65843</v>
      </c>
      <c r="L29" s="20">
        <f>+L30+L31+L32</f>
        <v>0</v>
      </c>
      <c r="M29" s="20">
        <f>+M30+M31+M32</f>
        <v>491</v>
      </c>
      <c r="N29" s="20"/>
      <c r="O29" s="20">
        <f>+O30+O31+O32</f>
        <v>12648</v>
      </c>
      <c r="P29" s="21">
        <f>+P30+P31+P32</f>
        <v>13139</v>
      </c>
      <c r="Q29" s="18"/>
    </row>
    <row r="30" spans="1:18" ht="12.75" customHeight="1">
      <c r="A30" s="22" t="s">
        <v>16</v>
      </c>
      <c r="B30" s="29">
        <v>24651</v>
      </c>
      <c r="C30" s="29">
        <v>34976</v>
      </c>
      <c r="D30" s="29"/>
      <c r="E30" s="30">
        <v>16436</v>
      </c>
      <c r="F30" s="24">
        <f>SUM(B30:E30)</f>
        <v>76063</v>
      </c>
      <c r="G30" s="29">
        <f>26071-1420</f>
        <v>24651</v>
      </c>
      <c r="H30" s="29">
        <f>33065+1420</f>
        <v>34485</v>
      </c>
      <c r="I30" s="29"/>
      <c r="J30" s="29">
        <v>3788</v>
      </c>
      <c r="K30" s="24">
        <f>SUM(G30:J30)</f>
        <v>62924</v>
      </c>
      <c r="L30" s="25">
        <f t="shared" ref="L30:M32" si="14">+B30-G30</f>
        <v>0</v>
      </c>
      <c r="M30" s="25">
        <f t="shared" si="14"/>
        <v>491</v>
      </c>
      <c r="N30" s="25"/>
      <c r="O30" s="25">
        <f>+E30-J30</f>
        <v>12648</v>
      </c>
      <c r="P30" s="26">
        <f>SUM(L30:O30)</f>
        <v>13139</v>
      </c>
      <c r="Q30" s="18"/>
    </row>
    <row r="31" spans="1:18" ht="12.75" customHeight="1">
      <c r="A31" s="22" t="s">
        <v>17</v>
      </c>
      <c r="B31" s="29">
        <v>718</v>
      </c>
      <c r="C31" s="34"/>
      <c r="D31" s="34"/>
      <c r="E31" s="30"/>
      <c r="F31" s="24">
        <f>SUM(B31:E31)</f>
        <v>718</v>
      </c>
      <c r="G31" s="29">
        <v>718</v>
      </c>
      <c r="H31" s="34"/>
      <c r="I31" s="34"/>
      <c r="J31" s="34"/>
      <c r="K31" s="24">
        <f>SUM(G31:J31)</f>
        <v>718</v>
      </c>
      <c r="L31" s="25">
        <f t="shared" si="14"/>
        <v>0</v>
      </c>
      <c r="M31" s="25">
        <f t="shared" si="14"/>
        <v>0</v>
      </c>
      <c r="N31" s="25"/>
      <c r="O31" s="25">
        <f>+E31-J31</f>
        <v>0</v>
      </c>
      <c r="P31" s="26">
        <f>SUM(L31:O31)</f>
        <v>0</v>
      </c>
      <c r="Q31" s="18"/>
    </row>
    <row r="32" spans="1:18" ht="12.75" customHeight="1">
      <c r="A32" s="22" t="s">
        <v>18</v>
      </c>
      <c r="B32" s="29">
        <v>2201</v>
      </c>
      <c r="C32" s="34"/>
      <c r="D32" s="34"/>
      <c r="E32" s="35"/>
      <c r="F32" s="24">
        <f>SUM(B32:E32)</f>
        <v>2201</v>
      </c>
      <c r="G32" s="29">
        <v>2201</v>
      </c>
      <c r="H32" s="34"/>
      <c r="I32" s="34"/>
      <c r="J32" s="34"/>
      <c r="K32" s="24">
        <f>SUM(G32:J32)</f>
        <v>2201</v>
      </c>
      <c r="L32" s="25">
        <f t="shared" si="14"/>
        <v>0</v>
      </c>
      <c r="M32" s="25">
        <f t="shared" si="14"/>
        <v>0</v>
      </c>
      <c r="N32" s="25"/>
      <c r="O32" s="25">
        <f>+E32-J32</f>
        <v>0</v>
      </c>
      <c r="P32" s="26">
        <f>SUM(L32:O32)</f>
        <v>0</v>
      </c>
      <c r="Q32" s="18"/>
    </row>
    <row r="33" spans="1:17" ht="12.75" customHeight="1">
      <c r="A33" s="22" t="s">
        <v>19</v>
      </c>
      <c r="B33" s="27">
        <f t="shared" ref="B33:K33" si="15">+B34+B35</f>
        <v>0</v>
      </c>
      <c r="C33" s="27">
        <f t="shared" si="15"/>
        <v>1248</v>
      </c>
      <c r="D33" s="27">
        <f t="shared" si="15"/>
        <v>0</v>
      </c>
      <c r="E33" s="27">
        <f t="shared" si="15"/>
        <v>2926</v>
      </c>
      <c r="F33" s="27">
        <f t="shared" si="15"/>
        <v>4174</v>
      </c>
      <c r="G33" s="27">
        <f t="shared" si="15"/>
        <v>0</v>
      </c>
      <c r="H33" s="27">
        <f t="shared" si="15"/>
        <v>220</v>
      </c>
      <c r="I33" s="27">
        <f t="shared" si="15"/>
        <v>0</v>
      </c>
      <c r="J33" s="27">
        <f t="shared" si="15"/>
        <v>2920</v>
      </c>
      <c r="K33" s="27">
        <f t="shared" si="15"/>
        <v>3140</v>
      </c>
      <c r="L33" s="27">
        <f t="shared" ref="L33:P33" si="16">+L34+L35</f>
        <v>0</v>
      </c>
      <c r="M33" s="27">
        <f t="shared" si="16"/>
        <v>1028</v>
      </c>
      <c r="N33" s="27"/>
      <c r="O33" s="27">
        <f t="shared" si="16"/>
        <v>6</v>
      </c>
      <c r="P33" s="28">
        <f t="shared" si="16"/>
        <v>1034</v>
      </c>
      <c r="Q33" s="18"/>
    </row>
    <row r="34" spans="1:17" ht="12.75" customHeight="1">
      <c r="A34" s="23" t="s">
        <v>20</v>
      </c>
      <c r="B34" s="29"/>
      <c r="C34" s="29">
        <v>1248</v>
      </c>
      <c r="D34" s="29"/>
      <c r="E34" s="30">
        <v>2926</v>
      </c>
      <c r="F34" s="24">
        <f>SUM(B34:E34)</f>
        <v>4174</v>
      </c>
      <c r="G34" s="29"/>
      <c r="H34" s="29">
        <v>220</v>
      </c>
      <c r="I34" s="29"/>
      <c r="J34" s="29">
        <v>2920</v>
      </c>
      <c r="K34" s="24">
        <f>SUM(G34:J34)</f>
        <v>3140</v>
      </c>
      <c r="L34" s="25">
        <f>+B34-G34</f>
        <v>0</v>
      </c>
      <c r="M34" s="25">
        <f>+C34-H34</f>
        <v>1028</v>
      </c>
      <c r="N34" s="25"/>
      <c r="O34" s="25">
        <f>+E34-J34</f>
        <v>6</v>
      </c>
      <c r="P34" s="26">
        <f>SUM(L34:O34)</f>
        <v>1034</v>
      </c>
      <c r="Q34" s="18"/>
    </row>
    <row r="35" spans="1:17" ht="12.75" customHeight="1">
      <c r="A35" s="23" t="s">
        <v>21</v>
      </c>
      <c r="B35" s="29"/>
      <c r="C35" s="29"/>
      <c r="D35" s="29"/>
      <c r="E35" s="30"/>
      <c r="F35" s="24">
        <f>SUM(B35:E35)</f>
        <v>0</v>
      </c>
      <c r="G35" s="29"/>
      <c r="H35" s="29"/>
      <c r="I35" s="29"/>
      <c r="J35" s="29"/>
      <c r="K35" s="24">
        <f>SUM(G35:J35)</f>
        <v>0</v>
      </c>
      <c r="L35" s="25">
        <f>+B35-G35</f>
        <v>0</v>
      </c>
      <c r="M35" s="25">
        <f>+C35-H35</f>
        <v>0</v>
      </c>
      <c r="N35" s="25"/>
      <c r="O35" s="25">
        <f>+E35-J35</f>
        <v>0</v>
      </c>
      <c r="P35" s="26">
        <f>SUM(L35:O35)</f>
        <v>0</v>
      </c>
      <c r="Q35" s="18"/>
    </row>
    <row r="36" spans="1:17" ht="12.75" customHeight="1">
      <c r="A36" s="85"/>
      <c r="B36" s="77"/>
      <c r="C36" s="77"/>
      <c r="D36" s="77"/>
      <c r="E36" s="77"/>
      <c r="F36" s="77"/>
      <c r="G36" s="82"/>
      <c r="H36" s="82"/>
      <c r="I36" s="82"/>
      <c r="J36" s="82"/>
      <c r="K36" s="82"/>
      <c r="L36" s="77"/>
      <c r="M36" s="77"/>
      <c r="N36" s="77"/>
      <c r="O36" s="77"/>
      <c r="P36" s="75"/>
      <c r="Q36" s="76"/>
    </row>
    <row r="37" spans="1:17">
      <c r="A37" s="80"/>
    </row>
    <row r="38" spans="1:17">
      <c r="A38" s="80"/>
    </row>
    <row r="39" spans="1:17">
      <c r="A39" s="80"/>
    </row>
    <row r="40" spans="1:17">
      <c r="A40" s="80"/>
    </row>
    <row r="41" spans="1:17">
      <c r="A41" s="80"/>
    </row>
    <row r="42" spans="1:17">
      <c r="A42" s="80"/>
    </row>
    <row r="43" spans="1:17">
      <c r="A43" s="80"/>
    </row>
    <row r="44" spans="1:17">
      <c r="A44" s="80"/>
    </row>
    <row r="45" spans="1:17">
      <c r="A45" s="80"/>
    </row>
    <row r="46" spans="1:17">
      <c r="A46" s="80"/>
    </row>
    <row r="47" spans="1:17">
      <c r="A47" s="80"/>
    </row>
    <row r="48" spans="1:17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  <row r="61" spans="1:1">
      <c r="A61" s="80"/>
    </row>
    <row r="62" spans="1:1">
      <c r="A62" s="80"/>
    </row>
    <row r="63" spans="1:1">
      <c r="A63" s="80"/>
    </row>
    <row r="64" spans="1:1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  <row r="1128" spans="1:1">
      <c r="A1128" s="80"/>
    </row>
    <row r="1129" spans="1:1">
      <c r="A1129" s="80"/>
    </row>
    <row r="1130" spans="1:1">
      <c r="A1130" s="80"/>
    </row>
    <row r="1131" spans="1:1">
      <c r="A1131" s="80"/>
    </row>
    <row r="1132" spans="1:1">
      <c r="A1132" s="80"/>
    </row>
    <row r="1133" spans="1:1">
      <c r="A1133" s="80"/>
    </row>
    <row r="1134" spans="1:1">
      <c r="A1134" s="80"/>
    </row>
    <row r="1135" spans="1:1">
      <c r="A1135" s="80"/>
    </row>
    <row r="1136" spans="1:1">
      <c r="A1136" s="80"/>
    </row>
    <row r="1137" spans="1:1">
      <c r="A1137" s="80"/>
    </row>
    <row r="1138" spans="1:1">
      <c r="A1138" s="80"/>
    </row>
    <row r="1139" spans="1:1">
      <c r="A1139" s="80"/>
    </row>
    <row r="1140" spans="1:1">
      <c r="A1140" s="80"/>
    </row>
    <row r="1141" spans="1:1">
      <c r="A1141" s="80"/>
    </row>
    <row r="1142" spans="1:1">
      <c r="A1142" s="80"/>
    </row>
    <row r="1143" spans="1:1">
      <c r="A1143" s="80"/>
    </row>
    <row r="1144" spans="1:1">
      <c r="A1144" s="80"/>
    </row>
    <row r="1145" spans="1:1">
      <c r="A1145" s="80"/>
    </row>
    <row r="1146" spans="1:1">
      <c r="A1146" s="80"/>
    </row>
    <row r="1147" spans="1:1">
      <c r="A1147" s="80"/>
    </row>
    <row r="1148" spans="1:1">
      <c r="A1148" s="80"/>
    </row>
    <row r="1149" spans="1:1">
      <c r="A1149" s="80"/>
    </row>
    <row r="1150" spans="1:1">
      <c r="A1150" s="80"/>
    </row>
    <row r="1151" spans="1:1">
      <c r="A1151" s="80"/>
    </row>
    <row r="1152" spans="1:1">
      <c r="A1152" s="80"/>
    </row>
    <row r="1153" spans="1:1">
      <c r="A1153" s="80"/>
    </row>
    <row r="1154" spans="1:1">
      <c r="A1154" s="80"/>
    </row>
    <row r="1155" spans="1:1">
      <c r="A1155" s="80"/>
    </row>
    <row r="1156" spans="1:1">
      <c r="A1156" s="80"/>
    </row>
    <row r="1157" spans="1:1">
      <c r="A1157" s="80"/>
    </row>
    <row r="1158" spans="1:1">
      <c r="A1158" s="80"/>
    </row>
    <row r="1159" spans="1:1">
      <c r="A1159" s="80"/>
    </row>
    <row r="1160" spans="1:1">
      <c r="A1160" s="80"/>
    </row>
    <row r="1161" spans="1:1">
      <c r="A1161" s="80"/>
    </row>
    <row r="1162" spans="1:1">
      <c r="A1162" s="80"/>
    </row>
    <row r="1163" spans="1:1">
      <c r="A1163" s="80"/>
    </row>
    <row r="1164" spans="1:1">
      <c r="A1164" s="80"/>
    </row>
    <row r="1165" spans="1:1">
      <c r="A1165" s="80"/>
    </row>
    <row r="1166" spans="1:1">
      <c r="A1166" s="80"/>
    </row>
    <row r="1167" spans="1:1">
      <c r="A1167" s="80"/>
    </row>
    <row r="1168" spans="1:1">
      <c r="A1168" s="80"/>
    </row>
    <row r="1169" spans="1:1">
      <c r="A1169" s="80"/>
    </row>
    <row r="1170" spans="1:1">
      <c r="A1170" s="80"/>
    </row>
    <row r="1171" spans="1:1">
      <c r="A1171" s="80"/>
    </row>
    <row r="1172" spans="1:1">
      <c r="A1172" s="80"/>
    </row>
    <row r="1173" spans="1:1">
      <c r="A1173" s="80"/>
    </row>
    <row r="1174" spans="1:1">
      <c r="A1174" s="80"/>
    </row>
    <row r="1175" spans="1:1">
      <c r="A1175" s="80"/>
    </row>
    <row r="1176" spans="1:1">
      <c r="A1176" s="80"/>
    </row>
    <row r="1177" spans="1:1">
      <c r="A1177" s="80"/>
    </row>
    <row r="1178" spans="1:1">
      <c r="A1178" s="80"/>
    </row>
    <row r="1179" spans="1:1">
      <c r="A1179" s="80"/>
    </row>
    <row r="1180" spans="1:1">
      <c r="A1180" s="80"/>
    </row>
    <row r="1181" spans="1:1">
      <c r="A1181" s="80"/>
    </row>
    <row r="1182" spans="1:1">
      <c r="A1182" s="80"/>
    </row>
    <row r="1183" spans="1:1">
      <c r="A1183" s="80"/>
    </row>
    <row r="1184" spans="1:1">
      <c r="A1184" s="80"/>
    </row>
    <row r="1185" spans="1:1">
      <c r="A1185" s="80"/>
    </row>
    <row r="1186" spans="1:1">
      <c r="A1186" s="80"/>
    </row>
    <row r="1187" spans="1:1">
      <c r="A1187" s="80"/>
    </row>
    <row r="1188" spans="1:1">
      <c r="A1188" s="80"/>
    </row>
    <row r="1189" spans="1:1">
      <c r="A1189" s="80"/>
    </row>
    <row r="1190" spans="1:1">
      <c r="A1190" s="80"/>
    </row>
    <row r="1191" spans="1:1">
      <c r="A1191" s="80"/>
    </row>
    <row r="1192" spans="1:1">
      <c r="A1192" s="80"/>
    </row>
    <row r="1193" spans="1:1">
      <c r="A1193" s="80"/>
    </row>
    <row r="1194" spans="1:1">
      <c r="A1194" s="80"/>
    </row>
    <row r="1195" spans="1:1">
      <c r="A1195" s="80"/>
    </row>
    <row r="1196" spans="1:1">
      <c r="A1196" s="80"/>
    </row>
    <row r="1197" spans="1:1">
      <c r="A1197" s="80"/>
    </row>
    <row r="1198" spans="1:1">
      <c r="A1198" s="80"/>
    </row>
    <row r="1199" spans="1:1">
      <c r="A1199" s="80"/>
    </row>
    <row r="1200" spans="1:1">
      <c r="A1200" s="80"/>
    </row>
    <row r="1201" spans="1:1">
      <c r="A1201" s="80"/>
    </row>
    <row r="1202" spans="1:1">
      <c r="A1202" s="80"/>
    </row>
    <row r="1203" spans="1:1">
      <c r="A1203" s="80"/>
    </row>
    <row r="1204" spans="1:1">
      <c r="A1204" s="80"/>
    </row>
    <row r="1205" spans="1:1">
      <c r="A1205" s="80"/>
    </row>
    <row r="1206" spans="1:1">
      <c r="A1206" s="80"/>
    </row>
    <row r="1207" spans="1:1">
      <c r="A1207" s="80"/>
    </row>
    <row r="1208" spans="1:1">
      <c r="A1208" s="80"/>
    </row>
    <row r="1209" spans="1:1">
      <c r="A1209" s="80"/>
    </row>
    <row r="1210" spans="1:1">
      <c r="A1210" s="80"/>
    </row>
    <row r="1211" spans="1:1">
      <c r="A1211" s="80"/>
    </row>
    <row r="1212" spans="1:1">
      <c r="A1212" s="80"/>
    </row>
    <row r="1213" spans="1:1">
      <c r="A1213" s="80"/>
    </row>
    <row r="1214" spans="1:1">
      <c r="A1214" s="80"/>
    </row>
    <row r="1215" spans="1:1">
      <c r="A1215" s="80"/>
    </row>
    <row r="1216" spans="1:1">
      <c r="A1216" s="80"/>
    </row>
    <row r="1217" spans="1:1">
      <c r="A1217" s="80"/>
    </row>
    <row r="1218" spans="1:1">
      <c r="A1218" s="80"/>
    </row>
    <row r="1219" spans="1:1">
      <c r="A1219" s="80"/>
    </row>
    <row r="1220" spans="1:1">
      <c r="A1220" s="80"/>
    </row>
    <row r="1221" spans="1:1">
      <c r="A1221" s="80"/>
    </row>
    <row r="1222" spans="1:1">
      <c r="A1222" s="80"/>
    </row>
    <row r="1223" spans="1:1">
      <c r="A1223" s="80"/>
    </row>
    <row r="1224" spans="1:1">
      <c r="A1224" s="80"/>
    </row>
    <row r="1225" spans="1:1">
      <c r="A1225" s="80"/>
    </row>
    <row r="1226" spans="1:1">
      <c r="A1226" s="80"/>
    </row>
    <row r="1227" spans="1:1">
      <c r="A1227" s="80"/>
    </row>
    <row r="1228" spans="1:1">
      <c r="A1228" s="80"/>
    </row>
    <row r="1229" spans="1:1">
      <c r="A1229" s="80"/>
    </row>
    <row r="1230" spans="1:1">
      <c r="A1230" s="80"/>
    </row>
    <row r="1231" spans="1:1">
      <c r="A1231" s="80"/>
    </row>
    <row r="1232" spans="1:1">
      <c r="A1232" s="80"/>
    </row>
    <row r="1233" spans="1:1">
      <c r="A1233" s="80"/>
    </row>
    <row r="1234" spans="1:1">
      <c r="A1234" s="80"/>
    </row>
    <row r="1235" spans="1:1">
      <c r="A1235" s="80"/>
    </row>
    <row r="1236" spans="1:1">
      <c r="A1236" s="80"/>
    </row>
    <row r="1237" spans="1:1">
      <c r="A1237" s="80"/>
    </row>
    <row r="1238" spans="1:1">
      <c r="A1238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2" fitToWidth="0" fitToHeight="0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27"/>
  <sheetViews>
    <sheetView showRuler="0" zoomScaleSheetLayoutView="100" workbookViewId="0">
      <pane xSplit="1" ySplit="8" topLeftCell="B9" activePane="bottomRight" state="frozen"/>
      <selection activeCell="A1459" sqref="A1459"/>
      <selection pane="topRight" activeCell="A1459" sqref="A1459"/>
      <selection pane="bottomLeft" activeCell="A1459" sqref="A1459"/>
      <selection pane="bottomRight" activeCell="C31" sqref="C31"/>
    </sheetView>
  </sheetViews>
  <sheetFormatPr defaultRowHeight="12.75"/>
  <cols>
    <col min="1" max="1" width="32.57031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51" width="9.140625" style="5"/>
    <col min="52" max="52" width="11.140625" style="5" bestFit="1" customWidth="1"/>
    <col min="53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27</v>
      </c>
      <c r="B10" s="17">
        <v>57239</v>
      </c>
      <c r="C10" s="17">
        <v>174380</v>
      </c>
      <c r="D10" s="17">
        <v>0</v>
      </c>
      <c r="E10" s="17">
        <v>555</v>
      </c>
      <c r="F10" s="17">
        <v>232174</v>
      </c>
      <c r="G10" s="17">
        <v>55578</v>
      </c>
      <c r="H10" s="17">
        <v>152394</v>
      </c>
      <c r="I10" s="17">
        <v>0</v>
      </c>
      <c r="J10" s="17">
        <v>522</v>
      </c>
      <c r="K10" s="17">
        <v>208494</v>
      </c>
      <c r="L10" s="17">
        <f>+L11+L15</f>
        <v>1661</v>
      </c>
      <c r="M10" s="17">
        <f>+M11+M15</f>
        <v>21986</v>
      </c>
      <c r="N10" s="17"/>
      <c r="O10" s="17">
        <f>+O11+O15</f>
        <v>33</v>
      </c>
      <c r="P10" s="17">
        <f>+P11+P15</f>
        <v>23680</v>
      </c>
      <c r="Q10" s="18">
        <f>+K10/F10</f>
        <v>0.89800752883613155</v>
      </c>
    </row>
    <row r="11" spans="1:18" ht="12.75" customHeight="1">
      <c r="A11" s="41" t="s">
        <v>15</v>
      </c>
      <c r="B11" s="20">
        <v>57239</v>
      </c>
      <c r="C11" s="20">
        <v>172476</v>
      </c>
      <c r="D11" s="20">
        <v>0</v>
      </c>
      <c r="E11" s="20">
        <v>0</v>
      </c>
      <c r="F11" s="20">
        <v>229715</v>
      </c>
      <c r="G11" s="20">
        <v>55578</v>
      </c>
      <c r="H11" s="20">
        <v>151207</v>
      </c>
      <c r="I11" s="20">
        <v>0</v>
      </c>
      <c r="J11" s="20">
        <v>0</v>
      </c>
      <c r="K11" s="20">
        <v>206785</v>
      </c>
      <c r="L11" s="20">
        <f>+L12+L13+L14</f>
        <v>1661</v>
      </c>
      <c r="M11" s="20">
        <f>+M12+M13+M14</f>
        <v>21269</v>
      </c>
      <c r="N11" s="20"/>
      <c r="O11" s="20">
        <f>+O12+O13+O14</f>
        <v>0</v>
      </c>
      <c r="P11" s="21">
        <f>+P12+P13+P14</f>
        <v>22930</v>
      </c>
      <c r="Q11" s="18"/>
    </row>
    <row r="12" spans="1:18" ht="12.75" customHeight="1">
      <c r="A12" s="22" t="s">
        <v>16</v>
      </c>
      <c r="B12" s="25">
        <v>50820</v>
      </c>
      <c r="C12" s="25">
        <v>166476</v>
      </c>
      <c r="D12" s="25"/>
      <c r="E12" s="43"/>
      <c r="F12" s="24">
        <v>217296</v>
      </c>
      <c r="G12" s="29">
        <v>49319</v>
      </c>
      <c r="H12" s="29">
        <v>151207</v>
      </c>
      <c r="I12" s="29"/>
      <c r="J12" s="29"/>
      <c r="K12" s="24">
        <v>200526</v>
      </c>
      <c r="L12" s="25">
        <f t="shared" ref="L12:M14" si="0">+B12-G12</f>
        <v>1501</v>
      </c>
      <c r="M12" s="25">
        <f t="shared" si="0"/>
        <v>15269</v>
      </c>
      <c r="N12" s="25"/>
      <c r="O12" s="25">
        <f>+E12-J12</f>
        <v>0</v>
      </c>
      <c r="P12" s="26">
        <f>SUM(L12:O12)</f>
        <v>16770</v>
      </c>
      <c r="Q12" s="18"/>
    </row>
    <row r="13" spans="1:18" ht="12.75" customHeight="1">
      <c r="A13" s="22" t="s">
        <v>17</v>
      </c>
      <c r="B13" s="25">
        <v>2467</v>
      </c>
      <c r="C13" s="25">
        <v>6000</v>
      </c>
      <c r="D13" s="25"/>
      <c r="E13" s="43"/>
      <c r="F13" s="24">
        <v>8467</v>
      </c>
      <c r="G13" s="29">
        <v>2467</v>
      </c>
      <c r="H13" s="34"/>
      <c r="I13" s="34"/>
      <c r="J13" s="34"/>
      <c r="K13" s="24">
        <v>2467</v>
      </c>
      <c r="L13" s="25">
        <f t="shared" si="0"/>
        <v>0</v>
      </c>
      <c r="M13" s="25">
        <f t="shared" si="0"/>
        <v>6000</v>
      </c>
      <c r="N13" s="25"/>
      <c r="O13" s="25">
        <f>+E13-J13</f>
        <v>0</v>
      </c>
      <c r="P13" s="26">
        <f>SUM(L13:O13)</f>
        <v>6000</v>
      </c>
      <c r="Q13" s="18"/>
    </row>
    <row r="14" spans="1:18" ht="12.75" customHeight="1">
      <c r="A14" s="22" t="s">
        <v>18</v>
      </c>
      <c r="B14" s="25">
        <v>3952</v>
      </c>
      <c r="C14" s="25"/>
      <c r="D14" s="25"/>
      <c r="E14" s="43"/>
      <c r="F14" s="24">
        <v>3952</v>
      </c>
      <c r="G14" s="29">
        <v>3792</v>
      </c>
      <c r="H14" s="34"/>
      <c r="I14" s="34"/>
      <c r="J14" s="34"/>
      <c r="K14" s="24">
        <v>3792</v>
      </c>
      <c r="L14" s="25">
        <f t="shared" si="0"/>
        <v>160</v>
      </c>
      <c r="M14" s="25">
        <f t="shared" si="0"/>
        <v>0</v>
      </c>
      <c r="N14" s="25"/>
      <c r="O14" s="25">
        <f>+E14-J14</f>
        <v>0</v>
      </c>
      <c r="P14" s="26">
        <f>SUM(L14:O14)</f>
        <v>160</v>
      </c>
      <c r="Q14" s="18"/>
    </row>
    <row r="15" spans="1:18" ht="12.75" customHeight="1">
      <c r="A15" s="22" t="s">
        <v>19</v>
      </c>
      <c r="B15" s="44">
        <v>0</v>
      </c>
      <c r="C15" s="44">
        <v>1904</v>
      </c>
      <c r="D15" s="44">
        <v>0</v>
      </c>
      <c r="E15" s="45">
        <v>555</v>
      </c>
      <c r="F15" s="44">
        <v>2459</v>
      </c>
      <c r="G15" s="27">
        <v>0</v>
      </c>
      <c r="H15" s="27">
        <v>1187</v>
      </c>
      <c r="I15" s="27">
        <v>0</v>
      </c>
      <c r="J15" s="27">
        <v>522</v>
      </c>
      <c r="K15" s="27">
        <v>1709</v>
      </c>
      <c r="L15" s="44">
        <f>+L16+L17</f>
        <v>0</v>
      </c>
      <c r="M15" s="44">
        <f>+M16+M17</f>
        <v>717</v>
      </c>
      <c r="N15" s="44"/>
      <c r="O15" s="44">
        <f>+O16+O17</f>
        <v>33</v>
      </c>
      <c r="P15" s="45">
        <f>+P16+P17</f>
        <v>750</v>
      </c>
      <c r="Q15" s="18"/>
    </row>
    <row r="16" spans="1:18" ht="12.75" customHeight="1">
      <c r="A16" s="23" t="s">
        <v>20</v>
      </c>
      <c r="B16" s="25"/>
      <c r="C16" s="25">
        <v>1904</v>
      </c>
      <c r="D16" s="25"/>
      <c r="E16" s="43">
        <v>555</v>
      </c>
      <c r="F16" s="24">
        <v>2459</v>
      </c>
      <c r="G16" s="29"/>
      <c r="H16" s="29">
        <v>1187</v>
      </c>
      <c r="I16" s="29"/>
      <c r="J16" s="29">
        <v>522</v>
      </c>
      <c r="K16" s="24">
        <v>1709</v>
      </c>
      <c r="L16" s="25">
        <f>+B16-G16</f>
        <v>0</v>
      </c>
      <c r="M16" s="25">
        <f>+C16-H16</f>
        <v>717</v>
      </c>
      <c r="N16" s="25"/>
      <c r="O16" s="25">
        <f>+E16-J16</f>
        <v>33</v>
      </c>
      <c r="P16" s="26">
        <f>SUM(L16:O16)</f>
        <v>750</v>
      </c>
      <c r="Q16" s="18"/>
    </row>
    <row r="17" spans="1:17" ht="12.75" customHeight="1">
      <c r="A17" s="23" t="s">
        <v>21</v>
      </c>
      <c r="B17" s="25"/>
      <c r="C17" s="25"/>
      <c r="D17" s="25"/>
      <c r="E17" s="43"/>
      <c r="F17" s="24">
        <v>0</v>
      </c>
      <c r="G17" s="29"/>
      <c r="H17" s="29"/>
      <c r="I17" s="29"/>
      <c r="J17" s="29"/>
      <c r="K17" s="24">
        <v>0</v>
      </c>
      <c r="L17" s="25">
        <f>+B17-G17</f>
        <v>0</v>
      </c>
      <c r="M17" s="25">
        <f>+C17-H17</f>
        <v>0</v>
      </c>
      <c r="N17" s="25"/>
      <c r="O17" s="25">
        <f>+E17-J17</f>
        <v>0</v>
      </c>
      <c r="P17" s="26">
        <f>SUM(L17:O17)</f>
        <v>0</v>
      </c>
      <c r="Q17" s="18"/>
    </row>
    <row r="18" spans="1:17" ht="12.75" customHeight="1">
      <c r="A18" s="83"/>
      <c r="B18" s="77"/>
      <c r="C18" s="77"/>
      <c r="D18" s="77"/>
      <c r="E18" s="75"/>
      <c r="F18" s="77"/>
      <c r="G18" s="82"/>
      <c r="H18" s="82"/>
      <c r="I18" s="82"/>
      <c r="J18" s="82"/>
      <c r="K18" s="82"/>
      <c r="L18" s="77"/>
      <c r="M18" s="77"/>
      <c r="N18" s="77"/>
      <c r="O18" s="77"/>
      <c r="P18" s="75"/>
      <c r="Q18" s="76"/>
    </row>
    <row r="19" spans="1:17">
      <c r="A19" s="80"/>
    </row>
    <row r="20" spans="1:17">
      <c r="A20" s="80"/>
    </row>
    <row r="21" spans="1:17">
      <c r="A21" s="80"/>
    </row>
    <row r="22" spans="1:17">
      <c r="A22" s="80"/>
    </row>
    <row r="23" spans="1:17">
      <c r="A23" s="80"/>
    </row>
    <row r="24" spans="1:17">
      <c r="A24" s="80"/>
    </row>
    <row r="25" spans="1:17">
      <c r="A25" s="80"/>
    </row>
    <row r="26" spans="1:17">
      <c r="A26" s="80"/>
    </row>
    <row r="27" spans="1:17">
      <c r="A27" s="80"/>
    </row>
    <row r="28" spans="1:17">
      <c r="A28" s="80"/>
    </row>
    <row r="29" spans="1:17">
      <c r="A29" s="80"/>
    </row>
    <row r="30" spans="1:17">
      <c r="A30" s="80"/>
    </row>
    <row r="31" spans="1:17">
      <c r="A31" s="80"/>
    </row>
    <row r="32" spans="1:17">
      <c r="A32" s="80"/>
    </row>
    <row r="33" spans="1:1">
      <c r="A33" s="80"/>
    </row>
    <row r="34" spans="1:1">
      <c r="A34" s="80"/>
    </row>
    <row r="35" spans="1:1">
      <c r="A35" s="80"/>
    </row>
    <row r="36" spans="1:1">
      <c r="A36" s="80"/>
    </row>
    <row r="37" spans="1:1">
      <c r="A37" s="80"/>
    </row>
    <row r="38" spans="1:1">
      <c r="A38" s="80"/>
    </row>
    <row r="39" spans="1:1">
      <c r="A39" s="80"/>
    </row>
    <row r="40" spans="1:1">
      <c r="A40" s="80"/>
    </row>
    <row r="41" spans="1:1">
      <c r="A41" s="80"/>
    </row>
    <row r="42" spans="1:1">
      <c r="A42" s="80"/>
    </row>
    <row r="43" spans="1:1">
      <c r="A43" s="80"/>
    </row>
    <row r="44" spans="1:1">
      <c r="A44" s="80"/>
    </row>
    <row r="45" spans="1:1">
      <c r="A45" s="80"/>
    </row>
    <row r="46" spans="1:1">
      <c r="A46" s="80"/>
    </row>
    <row r="47" spans="1:1">
      <c r="A47" s="80"/>
    </row>
    <row r="48" spans="1:1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  <row r="61" spans="1:1">
      <c r="A61" s="80"/>
    </row>
    <row r="62" spans="1:1">
      <c r="A62" s="80"/>
    </row>
    <row r="63" spans="1:1">
      <c r="A63" s="80"/>
    </row>
    <row r="64" spans="1:1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2" fitToWidth="0" fitToHeight="0" orientation="landscape" r:id="rId1"/>
  <headerFooter alignWithMargins="0">
    <oddFooter>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R994"/>
  <sheetViews>
    <sheetView showRuler="0" zoomScaleSheetLayoutView="100" workbookViewId="0">
      <pane xSplit="1" ySplit="8" topLeftCell="B9" activePane="bottomRight" state="frozen"/>
      <selection activeCell="A155" sqref="A155:Q155"/>
      <selection pane="topRight" activeCell="A155" sqref="A155:Q155"/>
      <selection pane="bottomLeft" activeCell="A155" sqref="A155:Q155"/>
      <selection pane="bottomRight" activeCell="A155" sqref="A155:Q155"/>
    </sheetView>
  </sheetViews>
  <sheetFormatPr defaultRowHeight="12.75"/>
  <cols>
    <col min="1" max="1" width="32.57031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208</v>
      </c>
      <c r="B10" s="17">
        <f t="shared" ref="B10:K10" si="0">+B11+B15</f>
        <v>8328929</v>
      </c>
      <c r="C10" s="17">
        <f t="shared" si="0"/>
        <v>771854</v>
      </c>
      <c r="D10" s="17">
        <f t="shared" si="0"/>
        <v>0</v>
      </c>
      <c r="E10" s="17">
        <f t="shared" si="0"/>
        <v>444568</v>
      </c>
      <c r="F10" s="17">
        <f t="shared" si="0"/>
        <v>9545351</v>
      </c>
      <c r="G10" s="17">
        <f t="shared" si="0"/>
        <v>7851679</v>
      </c>
      <c r="H10" s="17">
        <f t="shared" si="0"/>
        <v>332719</v>
      </c>
      <c r="I10" s="17">
        <f t="shared" si="0"/>
        <v>0</v>
      </c>
      <c r="J10" s="17">
        <f t="shared" si="0"/>
        <v>311335</v>
      </c>
      <c r="K10" s="17">
        <f t="shared" si="0"/>
        <v>8495733</v>
      </c>
      <c r="L10" s="17">
        <f>+L11+L15</f>
        <v>477250</v>
      </c>
      <c r="M10" s="17">
        <f>+M11+M15</f>
        <v>439135</v>
      </c>
      <c r="N10" s="17"/>
      <c r="O10" s="17">
        <f>+O11+O15</f>
        <v>133233</v>
      </c>
      <c r="P10" s="17">
        <f>+P11+P15</f>
        <v>1049618</v>
      </c>
      <c r="Q10" s="18">
        <f>+K10/F10</f>
        <v>0.89003882623069597</v>
      </c>
    </row>
    <row r="11" spans="1:18" ht="12.75" customHeight="1">
      <c r="A11" s="41" t="s">
        <v>15</v>
      </c>
      <c r="B11" s="20">
        <f t="shared" ref="B11:K11" si="1">+B12+B13+B14</f>
        <v>8328929</v>
      </c>
      <c r="C11" s="20">
        <f t="shared" si="1"/>
        <v>332719</v>
      </c>
      <c r="D11" s="20">
        <f t="shared" si="1"/>
        <v>0</v>
      </c>
      <c r="E11" s="20">
        <f t="shared" si="1"/>
        <v>257153</v>
      </c>
      <c r="F11" s="20">
        <f t="shared" si="1"/>
        <v>8918801</v>
      </c>
      <c r="G11" s="20">
        <f t="shared" si="1"/>
        <v>7851679</v>
      </c>
      <c r="H11" s="20">
        <f t="shared" si="1"/>
        <v>332719</v>
      </c>
      <c r="I11" s="20">
        <f t="shared" si="1"/>
        <v>0</v>
      </c>
      <c r="J11" s="20">
        <f t="shared" si="1"/>
        <v>226427</v>
      </c>
      <c r="K11" s="20">
        <f t="shared" si="1"/>
        <v>8410825</v>
      </c>
      <c r="L11" s="20">
        <f>+L12+L13+L14</f>
        <v>477250</v>
      </c>
      <c r="M11" s="20">
        <f>+M12+M13+M14</f>
        <v>0</v>
      </c>
      <c r="N11" s="20"/>
      <c r="O11" s="20">
        <f>+O12+O13+O14</f>
        <v>30726</v>
      </c>
      <c r="P11" s="21">
        <f>+P12+P13+P14</f>
        <v>507976</v>
      </c>
      <c r="Q11" s="18"/>
    </row>
    <row r="12" spans="1:18" ht="12.75" customHeight="1">
      <c r="A12" s="22" t="s">
        <v>16</v>
      </c>
      <c r="B12" s="25">
        <v>7379625</v>
      </c>
      <c r="C12" s="25">
        <v>332719</v>
      </c>
      <c r="D12" s="25"/>
      <c r="E12" s="43">
        <v>257153</v>
      </c>
      <c r="F12" s="24">
        <f>SUM(B12:E12)</f>
        <v>7969497</v>
      </c>
      <c r="G12" s="29">
        <f>6891521+130026</f>
        <v>7021547</v>
      </c>
      <c r="H12" s="29">
        <f>462745-130026</f>
        <v>332719</v>
      </c>
      <c r="I12" s="29"/>
      <c r="J12" s="29">
        <v>226427</v>
      </c>
      <c r="K12" s="24">
        <f>SUM(G12:J12)</f>
        <v>7580693</v>
      </c>
      <c r="L12" s="25">
        <f t="shared" ref="L12:M14" si="2">+B12-G12</f>
        <v>358078</v>
      </c>
      <c r="M12" s="25">
        <f t="shared" si="2"/>
        <v>0</v>
      </c>
      <c r="N12" s="25"/>
      <c r="O12" s="25">
        <f>+E12-J12</f>
        <v>30726</v>
      </c>
      <c r="P12" s="26">
        <f>SUM(L12:O12)</f>
        <v>388804</v>
      </c>
      <c r="Q12" s="18"/>
    </row>
    <row r="13" spans="1:18" ht="12.75" customHeight="1">
      <c r="A13" s="23" t="s">
        <v>17</v>
      </c>
      <c r="B13" s="25">
        <v>491788</v>
      </c>
      <c r="C13" s="25"/>
      <c r="D13" s="25"/>
      <c r="E13" s="25"/>
      <c r="F13" s="24">
        <f>SUM(B13:E13)</f>
        <v>491788</v>
      </c>
      <c r="G13" s="29">
        <f>377881+70237</f>
        <v>448118</v>
      </c>
      <c r="H13" s="34"/>
      <c r="I13" s="34"/>
      <c r="J13" s="34"/>
      <c r="K13" s="24">
        <f>SUM(G13:J13)</f>
        <v>448118</v>
      </c>
      <c r="L13" s="25">
        <f t="shared" si="2"/>
        <v>43670</v>
      </c>
      <c r="M13" s="25">
        <f t="shared" si="2"/>
        <v>0</v>
      </c>
      <c r="N13" s="25"/>
      <c r="O13" s="25">
        <f>+E13-J13</f>
        <v>0</v>
      </c>
      <c r="P13" s="26">
        <f>SUM(L13:O13)</f>
        <v>43670</v>
      </c>
      <c r="Q13" s="18"/>
    </row>
    <row r="14" spans="1:18" ht="12.75" customHeight="1">
      <c r="A14" s="22" t="s">
        <v>18</v>
      </c>
      <c r="B14" s="25">
        <v>457516</v>
      </c>
      <c r="C14" s="25"/>
      <c r="D14" s="25"/>
      <c r="E14" s="43"/>
      <c r="F14" s="24">
        <f>SUM(B14:E14)</f>
        <v>457516</v>
      </c>
      <c r="G14" s="29">
        <v>382014</v>
      </c>
      <c r="H14" s="34"/>
      <c r="I14" s="34"/>
      <c r="J14" s="34"/>
      <c r="K14" s="24">
        <f>SUM(G14:J14)</f>
        <v>382014</v>
      </c>
      <c r="L14" s="25">
        <f t="shared" si="2"/>
        <v>75502</v>
      </c>
      <c r="M14" s="25">
        <f t="shared" si="2"/>
        <v>0</v>
      </c>
      <c r="N14" s="25"/>
      <c r="O14" s="25">
        <f>+E14-J14</f>
        <v>0</v>
      </c>
      <c r="P14" s="26">
        <f>SUM(L14:O14)</f>
        <v>75502</v>
      </c>
      <c r="Q14" s="18"/>
    </row>
    <row r="15" spans="1:18" ht="12.75" customHeight="1">
      <c r="A15" s="22" t="s">
        <v>19</v>
      </c>
      <c r="B15" s="44">
        <f t="shared" ref="B15" si="3">+B16+B17</f>
        <v>0</v>
      </c>
      <c r="C15" s="44">
        <f>+C16+C17</f>
        <v>439135</v>
      </c>
      <c r="D15" s="44">
        <f t="shared" ref="D15:K15" si="4">+D16+D17</f>
        <v>0</v>
      </c>
      <c r="E15" s="44">
        <f t="shared" si="4"/>
        <v>187415</v>
      </c>
      <c r="F15" s="44">
        <f t="shared" si="4"/>
        <v>626550</v>
      </c>
      <c r="G15" s="44">
        <f t="shared" si="4"/>
        <v>0</v>
      </c>
      <c r="H15" s="44">
        <f t="shared" si="4"/>
        <v>0</v>
      </c>
      <c r="I15" s="44">
        <f t="shared" si="4"/>
        <v>0</v>
      </c>
      <c r="J15" s="44">
        <f t="shared" si="4"/>
        <v>84908</v>
      </c>
      <c r="K15" s="44">
        <f t="shared" si="4"/>
        <v>84908</v>
      </c>
      <c r="L15" s="44">
        <f>+L16+L17</f>
        <v>0</v>
      </c>
      <c r="M15" s="44">
        <f>+M16+M17</f>
        <v>439135</v>
      </c>
      <c r="N15" s="44"/>
      <c r="O15" s="44">
        <f>+O16+O17</f>
        <v>102507</v>
      </c>
      <c r="P15" s="45">
        <f>+P16+P17</f>
        <v>541642</v>
      </c>
      <c r="Q15" s="18"/>
    </row>
    <row r="16" spans="1:18" ht="12.75" customHeight="1">
      <c r="A16" s="23" t="s">
        <v>20</v>
      </c>
      <c r="B16" s="25"/>
      <c r="C16" s="25">
        <f>361992+33126+2144+16185+25688</f>
        <v>439135</v>
      </c>
      <c r="D16" s="25"/>
      <c r="E16" s="43">
        <f>85089+102326</f>
        <v>187415</v>
      </c>
      <c r="F16" s="24">
        <f>SUM(B16:E16)</f>
        <v>626550</v>
      </c>
      <c r="G16" s="29"/>
      <c r="H16" s="29"/>
      <c r="I16" s="29"/>
      <c r="J16" s="29">
        <v>84908</v>
      </c>
      <c r="K16" s="24">
        <f>SUM(G16:J16)</f>
        <v>84908</v>
      </c>
      <c r="L16" s="25">
        <f>+B16-G16</f>
        <v>0</v>
      </c>
      <c r="M16" s="25">
        <f>+C16-H16</f>
        <v>439135</v>
      </c>
      <c r="N16" s="25"/>
      <c r="O16" s="25">
        <f>+E16-J16</f>
        <v>102507</v>
      </c>
      <c r="P16" s="26">
        <f>SUM(L16:O16)</f>
        <v>541642</v>
      </c>
      <c r="Q16" s="18"/>
    </row>
    <row r="17" spans="1:17" ht="12.75" customHeight="1">
      <c r="A17" s="23" t="s">
        <v>21</v>
      </c>
      <c r="B17" s="25"/>
      <c r="C17" s="25"/>
      <c r="D17" s="25"/>
      <c r="E17" s="43"/>
      <c r="F17" s="24">
        <f>SUM(B17:E17)</f>
        <v>0</v>
      </c>
      <c r="G17" s="29"/>
      <c r="H17" s="29"/>
      <c r="I17" s="29"/>
      <c r="J17" s="29"/>
      <c r="K17" s="24">
        <f>SUM(G17:J17)</f>
        <v>0</v>
      </c>
      <c r="L17" s="25">
        <f>+B17-G17</f>
        <v>0</v>
      </c>
      <c r="M17" s="25">
        <f>+C17-H17</f>
        <v>0</v>
      </c>
      <c r="N17" s="25"/>
      <c r="O17" s="25">
        <f>+E17-J17</f>
        <v>0</v>
      </c>
      <c r="P17" s="26">
        <f>SUM(L17:O17)</f>
        <v>0</v>
      </c>
      <c r="Q17" s="18"/>
    </row>
    <row r="18" spans="1:17" ht="12.75" customHeight="1">
      <c r="A18" s="83"/>
      <c r="B18" s="77"/>
      <c r="C18" s="77"/>
      <c r="D18" s="77"/>
      <c r="E18" s="75"/>
      <c r="F18" s="77"/>
      <c r="G18" s="82"/>
      <c r="H18" s="82"/>
      <c r="I18" s="82"/>
      <c r="J18" s="82"/>
      <c r="K18" s="82"/>
      <c r="L18" s="77"/>
      <c r="M18" s="77"/>
      <c r="N18" s="77"/>
      <c r="O18" s="77"/>
      <c r="P18" s="75"/>
      <c r="Q18" s="76"/>
    </row>
    <row r="19" spans="1:17">
      <c r="A19" s="80"/>
    </row>
    <row r="20" spans="1:17">
      <c r="A20" s="80"/>
    </row>
    <row r="21" spans="1:17">
      <c r="A21" s="80"/>
    </row>
    <row r="22" spans="1:17">
      <c r="A22" s="80"/>
    </row>
    <row r="23" spans="1:17">
      <c r="A23" s="80"/>
    </row>
    <row r="24" spans="1:17">
      <c r="A24" s="80"/>
    </row>
    <row r="25" spans="1:17">
      <c r="A25" s="80"/>
    </row>
    <row r="26" spans="1:17">
      <c r="A26" s="80"/>
    </row>
    <row r="27" spans="1:17">
      <c r="A27" s="80"/>
    </row>
    <row r="28" spans="1:17">
      <c r="A28" s="80"/>
    </row>
    <row r="29" spans="1:17">
      <c r="A29" s="80"/>
    </row>
    <row r="30" spans="1:17">
      <c r="A30" s="80"/>
    </row>
    <row r="31" spans="1:17">
      <c r="A31" s="80"/>
    </row>
    <row r="32" spans="1:17">
      <c r="A32" s="80"/>
    </row>
    <row r="33" spans="1:1">
      <c r="A33" s="80"/>
    </row>
    <row r="34" spans="1:1">
      <c r="A34" s="80"/>
    </row>
    <row r="35" spans="1:1">
      <c r="A35" s="80"/>
    </row>
    <row r="36" spans="1:1">
      <c r="A36" s="80"/>
    </row>
    <row r="37" spans="1:1">
      <c r="A37" s="80"/>
    </row>
    <row r="38" spans="1:1">
      <c r="A38" s="80"/>
    </row>
    <row r="39" spans="1:1">
      <c r="A39" s="80"/>
    </row>
    <row r="40" spans="1:1">
      <c r="A40" s="80"/>
    </row>
    <row r="41" spans="1:1">
      <c r="A41" s="80"/>
    </row>
    <row r="42" spans="1:1">
      <c r="A42" s="80"/>
    </row>
    <row r="43" spans="1:1">
      <c r="A43" s="80"/>
    </row>
    <row r="44" spans="1:1">
      <c r="A44" s="80"/>
    </row>
    <row r="45" spans="1:1">
      <c r="A45" s="80"/>
    </row>
    <row r="46" spans="1:1">
      <c r="A46" s="80"/>
    </row>
    <row r="47" spans="1:1">
      <c r="A47" s="80"/>
    </row>
    <row r="48" spans="1:1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  <row r="61" spans="1:1">
      <c r="A61" s="80"/>
    </row>
    <row r="62" spans="1:1">
      <c r="A62" s="80"/>
    </row>
    <row r="63" spans="1:1">
      <c r="A63" s="80"/>
    </row>
    <row r="64" spans="1:1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2" fitToWidth="0" fitToHeight="0" orientation="landscape" r:id="rId1"/>
  <headerFooter alignWithMargins="0">
    <oddFooter>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R1344"/>
  <sheetViews>
    <sheetView showRuler="0" zoomScaleSheetLayoutView="100" workbookViewId="0">
      <pane xSplit="1" ySplit="8" topLeftCell="B9" activePane="bottomRight" state="frozen"/>
      <selection activeCell="A155" sqref="A155:Q155"/>
      <selection pane="topRight" activeCell="A155" sqref="A155:Q155"/>
      <selection pane="bottomLeft" activeCell="A155" sqref="A155:Q155"/>
      <selection pane="bottomRight" activeCell="A155" sqref="A155:Q155"/>
    </sheetView>
  </sheetViews>
  <sheetFormatPr defaultRowHeight="12.75"/>
  <cols>
    <col min="1" max="1" width="31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72" t="s">
        <v>365</v>
      </c>
      <c r="B10" s="17">
        <f t="shared" ref="B10:F10" si="0">+B11+B15</f>
        <v>2211966</v>
      </c>
      <c r="C10" s="17">
        <f t="shared" si="0"/>
        <v>4178324</v>
      </c>
      <c r="D10" s="17">
        <f t="shared" si="0"/>
        <v>0</v>
      </c>
      <c r="E10" s="17">
        <f t="shared" si="0"/>
        <v>225524</v>
      </c>
      <c r="F10" s="17">
        <f t="shared" si="0"/>
        <v>6615814</v>
      </c>
      <c r="G10" s="37">
        <f>+G11+G15</f>
        <v>1519362</v>
      </c>
      <c r="H10" s="37">
        <f>+H11+H15</f>
        <v>914156</v>
      </c>
      <c r="I10" s="37"/>
      <c r="J10" s="37">
        <f>+J11+J15</f>
        <v>59184</v>
      </c>
      <c r="K10" s="37">
        <f t="shared" ref="K10" si="1">+K11+K15</f>
        <v>2492702</v>
      </c>
      <c r="L10" s="17">
        <f>+L11+L15</f>
        <v>692604</v>
      </c>
      <c r="M10" s="17">
        <f>+M11+M15</f>
        <v>3264168</v>
      </c>
      <c r="N10" s="17"/>
      <c r="O10" s="17">
        <f>+O11+O15</f>
        <v>166340</v>
      </c>
      <c r="P10" s="17">
        <f>+P11+P15</f>
        <v>4123112</v>
      </c>
      <c r="Q10" s="18">
        <f>+K10/F10</f>
        <v>0.37677933509013406</v>
      </c>
    </row>
    <row r="11" spans="1:18" ht="12.75" customHeight="1">
      <c r="A11" s="41" t="s">
        <v>15</v>
      </c>
      <c r="B11" s="20">
        <f t="shared" ref="B11:J11" si="2">+B12+B13+B14</f>
        <v>2211966</v>
      </c>
      <c r="C11" s="20">
        <f t="shared" si="2"/>
        <v>571753</v>
      </c>
      <c r="D11" s="20">
        <f t="shared" si="2"/>
        <v>0</v>
      </c>
      <c r="E11" s="20">
        <f t="shared" si="2"/>
        <v>225524</v>
      </c>
      <c r="F11" s="20">
        <f t="shared" si="2"/>
        <v>3009243</v>
      </c>
      <c r="G11" s="38">
        <f t="shared" si="2"/>
        <v>1519362</v>
      </c>
      <c r="H11" s="38">
        <f t="shared" si="2"/>
        <v>208393</v>
      </c>
      <c r="I11" s="38"/>
      <c r="J11" s="38">
        <f t="shared" si="2"/>
        <v>59184</v>
      </c>
      <c r="K11" s="38">
        <f>+K12+K13+K14</f>
        <v>1786939</v>
      </c>
      <c r="L11" s="20">
        <f>+L12+L13+L14</f>
        <v>692604</v>
      </c>
      <c r="M11" s="20">
        <f>+M12+M13+M14</f>
        <v>363360</v>
      </c>
      <c r="N11" s="20"/>
      <c r="O11" s="20">
        <f>+O12+O13+O14</f>
        <v>166340</v>
      </c>
      <c r="P11" s="21">
        <f>+P12+P13+P14</f>
        <v>1222304</v>
      </c>
      <c r="Q11" s="18"/>
    </row>
    <row r="12" spans="1:18" ht="12.75" customHeight="1">
      <c r="A12" s="22" t="s">
        <v>16</v>
      </c>
      <c r="B12" s="25">
        <v>1938044</v>
      </c>
      <c r="C12" s="25">
        <v>571753</v>
      </c>
      <c r="D12" s="25"/>
      <c r="E12" s="43">
        <v>225524</v>
      </c>
      <c r="F12" s="24">
        <f>SUM(B12:E12)</f>
        <v>2735321</v>
      </c>
      <c r="G12" s="31">
        <v>1339888</v>
      </c>
      <c r="H12" s="31">
        <v>208393</v>
      </c>
      <c r="I12" s="31"/>
      <c r="J12" s="31">
        <v>59184</v>
      </c>
      <c r="K12" s="32">
        <f>SUM(G12:J12)</f>
        <v>1607465</v>
      </c>
      <c r="L12" s="25">
        <f t="shared" ref="L12:M14" si="3">+B12-G12</f>
        <v>598156</v>
      </c>
      <c r="M12" s="25">
        <f t="shared" si="3"/>
        <v>363360</v>
      </c>
      <c r="N12" s="25"/>
      <c r="O12" s="25">
        <f>+E12-J12</f>
        <v>166340</v>
      </c>
      <c r="P12" s="26">
        <f>SUM(L12:O12)</f>
        <v>1127856</v>
      </c>
      <c r="Q12" s="18"/>
    </row>
    <row r="13" spans="1:18" ht="12.75" customHeight="1">
      <c r="A13" s="22" t="s">
        <v>17</v>
      </c>
      <c r="B13" s="25">
        <v>123259</v>
      </c>
      <c r="C13" s="25"/>
      <c r="D13" s="25"/>
      <c r="E13" s="43"/>
      <c r="F13" s="24">
        <f>SUM(B13:E13)</f>
        <v>123259</v>
      </c>
      <c r="G13" s="31">
        <v>77437</v>
      </c>
      <c r="H13" s="39"/>
      <c r="I13" s="39"/>
      <c r="J13" s="39"/>
      <c r="K13" s="32">
        <f>SUM(G13:J13)</f>
        <v>77437</v>
      </c>
      <c r="L13" s="25">
        <f t="shared" si="3"/>
        <v>45822</v>
      </c>
      <c r="M13" s="25">
        <f t="shared" si="3"/>
        <v>0</v>
      </c>
      <c r="N13" s="25"/>
      <c r="O13" s="25">
        <f>+E13-J13</f>
        <v>0</v>
      </c>
      <c r="P13" s="26">
        <f>SUM(L13:O13)</f>
        <v>45822</v>
      </c>
      <c r="Q13" s="18"/>
    </row>
    <row r="14" spans="1:18" ht="12.75" customHeight="1">
      <c r="A14" s="22" t="s">
        <v>18</v>
      </c>
      <c r="B14" s="25">
        <v>150663</v>
      </c>
      <c r="C14" s="25"/>
      <c r="D14" s="25"/>
      <c r="E14" s="43"/>
      <c r="F14" s="24">
        <f>SUM(B14:E14)</f>
        <v>150663</v>
      </c>
      <c r="G14" s="31">
        <v>102037</v>
      </c>
      <c r="H14" s="39"/>
      <c r="I14" s="39"/>
      <c r="J14" s="39"/>
      <c r="K14" s="32">
        <f>SUM(G14:J14)</f>
        <v>102037</v>
      </c>
      <c r="L14" s="25">
        <f t="shared" si="3"/>
        <v>48626</v>
      </c>
      <c r="M14" s="25">
        <f t="shared" si="3"/>
        <v>0</v>
      </c>
      <c r="N14" s="25"/>
      <c r="O14" s="25">
        <f>+E14-J14</f>
        <v>0</v>
      </c>
      <c r="P14" s="26">
        <f>SUM(L14:O14)</f>
        <v>48626</v>
      </c>
      <c r="Q14" s="18"/>
    </row>
    <row r="15" spans="1:18" ht="12.75" customHeight="1">
      <c r="A15" s="22" t="s">
        <v>19</v>
      </c>
      <c r="B15" s="44">
        <f t="shared" ref="B15:F15" si="4">+B16+B17</f>
        <v>0</v>
      </c>
      <c r="C15" s="44">
        <f t="shared" si="4"/>
        <v>3606571</v>
      </c>
      <c r="D15" s="44">
        <f t="shared" si="4"/>
        <v>0</v>
      </c>
      <c r="E15" s="44">
        <f t="shared" si="4"/>
        <v>0</v>
      </c>
      <c r="F15" s="44">
        <f t="shared" si="4"/>
        <v>3606571</v>
      </c>
      <c r="G15" s="40">
        <f>+G16+G17</f>
        <v>0</v>
      </c>
      <c r="H15" s="40">
        <f>+H16+H17</f>
        <v>705763</v>
      </c>
      <c r="I15" s="40"/>
      <c r="J15" s="40">
        <f>+J16+J17</f>
        <v>0</v>
      </c>
      <c r="K15" s="40">
        <f t="shared" ref="K15" si="5">+K16+K17</f>
        <v>705763</v>
      </c>
      <c r="L15" s="44">
        <f>+L16+L17</f>
        <v>0</v>
      </c>
      <c r="M15" s="44">
        <f>+M16+M17</f>
        <v>2900808</v>
      </c>
      <c r="N15" s="44"/>
      <c r="O15" s="44">
        <f>+O16+O17</f>
        <v>0</v>
      </c>
      <c r="P15" s="45">
        <f>+P16+P17</f>
        <v>2900808</v>
      </c>
      <c r="Q15" s="18"/>
    </row>
    <row r="16" spans="1:18" ht="12.75" customHeight="1">
      <c r="A16" s="23" t="s">
        <v>20</v>
      </c>
      <c r="B16" s="25"/>
      <c r="C16" s="25">
        <v>3606571</v>
      </c>
      <c r="D16" s="25"/>
      <c r="E16" s="43"/>
      <c r="F16" s="24">
        <f>SUM(B16:E16)</f>
        <v>3606571</v>
      </c>
      <c r="G16" s="31">
        <f>36868-36868</f>
        <v>0</v>
      </c>
      <c r="H16" s="31">
        <f>664055+4840+36868</f>
        <v>705763</v>
      </c>
      <c r="I16" s="31"/>
      <c r="J16" s="31">
        <f>4840-4840</f>
        <v>0</v>
      </c>
      <c r="K16" s="32">
        <f>SUM(G16:J16)</f>
        <v>705763</v>
      </c>
      <c r="L16" s="25">
        <f>+B16-G16</f>
        <v>0</v>
      </c>
      <c r="M16" s="25">
        <f>+C16-H16</f>
        <v>2900808</v>
      </c>
      <c r="N16" s="25"/>
      <c r="O16" s="25">
        <f>+E16-J16</f>
        <v>0</v>
      </c>
      <c r="P16" s="26">
        <f>SUM(L16:O16)</f>
        <v>2900808</v>
      </c>
      <c r="Q16" s="18"/>
    </row>
    <row r="17" spans="1:17" ht="12.75" customHeight="1">
      <c r="A17" s="23" t="s">
        <v>21</v>
      </c>
      <c r="B17" s="25"/>
      <c r="C17" s="25"/>
      <c r="D17" s="25"/>
      <c r="E17" s="43"/>
      <c r="F17" s="24">
        <f>SUM(B17:E17)</f>
        <v>0</v>
      </c>
      <c r="G17" s="29"/>
      <c r="H17" s="29"/>
      <c r="I17" s="29"/>
      <c r="J17" s="29"/>
      <c r="K17" s="24">
        <f>SUM(G17:J17)</f>
        <v>0</v>
      </c>
      <c r="L17" s="25">
        <f>+B17-G17</f>
        <v>0</v>
      </c>
      <c r="M17" s="25">
        <f>+C17-H17</f>
        <v>0</v>
      </c>
      <c r="N17" s="25"/>
      <c r="O17" s="25">
        <f>+E17-J17</f>
        <v>0</v>
      </c>
      <c r="P17" s="26">
        <f>SUM(L17:O17)</f>
        <v>0</v>
      </c>
      <c r="Q17" s="18"/>
    </row>
    <row r="18" spans="1:17" ht="12.75" customHeight="1">
      <c r="A18" s="83"/>
      <c r="B18" s="77"/>
      <c r="C18" s="77"/>
      <c r="D18" s="77"/>
      <c r="E18" s="75"/>
      <c r="F18" s="77"/>
      <c r="G18" s="82"/>
      <c r="H18" s="82"/>
      <c r="I18" s="82"/>
      <c r="J18" s="82"/>
      <c r="K18" s="82"/>
      <c r="L18" s="77"/>
      <c r="M18" s="77"/>
      <c r="N18" s="77"/>
      <c r="O18" s="77"/>
      <c r="P18" s="75"/>
      <c r="Q18" s="76"/>
    </row>
    <row r="19" spans="1:17">
      <c r="A19" s="80"/>
    </row>
    <row r="20" spans="1:17">
      <c r="A20" s="80" t="s">
        <v>355</v>
      </c>
    </row>
    <row r="21" spans="1:17">
      <c r="A21" s="80"/>
    </row>
    <row r="22" spans="1:17">
      <c r="A22" s="80"/>
    </row>
    <row r="23" spans="1:17">
      <c r="A23" s="80"/>
    </row>
    <row r="24" spans="1:17">
      <c r="A24" s="80"/>
    </row>
    <row r="25" spans="1:17">
      <c r="A25" s="80"/>
    </row>
    <row r="26" spans="1:17">
      <c r="A26" s="80"/>
    </row>
    <row r="27" spans="1:17">
      <c r="A27" s="80"/>
    </row>
    <row r="28" spans="1:17">
      <c r="A28" s="80"/>
    </row>
    <row r="29" spans="1:17">
      <c r="A29" s="80"/>
    </row>
    <row r="30" spans="1:17">
      <c r="A30" s="80"/>
    </row>
    <row r="31" spans="1:17">
      <c r="A31" s="80"/>
    </row>
    <row r="32" spans="1:17">
      <c r="A32" s="80"/>
    </row>
    <row r="33" spans="1:1">
      <c r="A33" s="80"/>
    </row>
    <row r="34" spans="1:1">
      <c r="A34" s="80"/>
    </row>
    <row r="35" spans="1:1">
      <c r="A35" s="80"/>
    </row>
    <row r="36" spans="1:1">
      <c r="A36" s="80"/>
    </row>
    <row r="37" spans="1:1">
      <c r="A37" s="80"/>
    </row>
    <row r="38" spans="1:1">
      <c r="A38" s="80"/>
    </row>
    <row r="39" spans="1:1">
      <c r="A39" s="80"/>
    </row>
    <row r="40" spans="1:1">
      <c r="A40" s="80"/>
    </row>
    <row r="41" spans="1:1">
      <c r="A41" s="80"/>
    </row>
    <row r="42" spans="1:1">
      <c r="A42" s="80"/>
    </row>
    <row r="43" spans="1:1">
      <c r="A43" s="80"/>
    </row>
    <row r="44" spans="1:1">
      <c r="A44" s="80"/>
    </row>
    <row r="45" spans="1:1">
      <c r="A45" s="80"/>
    </row>
    <row r="46" spans="1:1">
      <c r="A46" s="80"/>
    </row>
    <row r="47" spans="1:1">
      <c r="A47" s="80"/>
    </row>
    <row r="48" spans="1:1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  <row r="61" spans="1:1">
      <c r="A61" s="80"/>
    </row>
    <row r="62" spans="1:1">
      <c r="A62" s="80"/>
    </row>
    <row r="63" spans="1:1">
      <c r="A63" s="80"/>
    </row>
    <row r="64" spans="1:1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  <row r="1128" spans="1:1">
      <c r="A1128" s="80"/>
    </row>
    <row r="1129" spans="1:1">
      <c r="A1129" s="80"/>
    </row>
    <row r="1130" spans="1:1">
      <c r="A1130" s="80"/>
    </row>
    <row r="1131" spans="1:1">
      <c r="A1131" s="80"/>
    </row>
    <row r="1132" spans="1:1">
      <c r="A1132" s="80"/>
    </row>
    <row r="1133" spans="1:1">
      <c r="A1133" s="80"/>
    </row>
    <row r="1134" spans="1:1">
      <c r="A1134" s="80"/>
    </row>
    <row r="1135" spans="1:1">
      <c r="A1135" s="80"/>
    </row>
    <row r="1136" spans="1:1">
      <c r="A1136" s="80"/>
    </row>
    <row r="1137" spans="1:1">
      <c r="A1137" s="80"/>
    </row>
    <row r="1138" spans="1:1">
      <c r="A1138" s="80"/>
    </row>
    <row r="1139" spans="1:1">
      <c r="A1139" s="80"/>
    </row>
    <row r="1140" spans="1:1">
      <c r="A1140" s="80"/>
    </row>
    <row r="1141" spans="1:1">
      <c r="A1141" s="80"/>
    </row>
    <row r="1142" spans="1:1">
      <c r="A1142" s="80"/>
    </row>
    <row r="1143" spans="1:1">
      <c r="A1143" s="80"/>
    </row>
    <row r="1144" spans="1:1">
      <c r="A1144" s="80"/>
    </row>
    <row r="1145" spans="1:1">
      <c r="A1145" s="80"/>
    </row>
    <row r="1146" spans="1:1">
      <c r="A1146" s="80"/>
    </row>
    <row r="1147" spans="1:1">
      <c r="A1147" s="80"/>
    </row>
    <row r="1148" spans="1:1">
      <c r="A1148" s="80"/>
    </row>
    <row r="1149" spans="1:1">
      <c r="A1149" s="80"/>
    </row>
    <row r="1150" spans="1:1">
      <c r="A1150" s="80"/>
    </row>
    <row r="1151" spans="1:1">
      <c r="A1151" s="80"/>
    </row>
    <row r="1152" spans="1:1">
      <c r="A1152" s="80"/>
    </row>
    <row r="1153" spans="1:1">
      <c r="A1153" s="80"/>
    </row>
    <row r="1154" spans="1:1">
      <c r="A1154" s="80"/>
    </row>
    <row r="1155" spans="1:1">
      <c r="A1155" s="80"/>
    </row>
    <row r="1156" spans="1:1">
      <c r="A1156" s="80"/>
    </row>
    <row r="1157" spans="1:1">
      <c r="A1157" s="80"/>
    </row>
    <row r="1158" spans="1:1">
      <c r="A1158" s="80"/>
    </row>
    <row r="1159" spans="1:1">
      <c r="A1159" s="80"/>
    </row>
    <row r="1160" spans="1:1">
      <c r="A1160" s="80"/>
    </row>
    <row r="1161" spans="1:1">
      <c r="A1161" s="80"/>
    </row>
    <row r="1162" spans="1:1">
      <c r="A1162" s="80"/>
    </row>
    <row r="1163" spans="1:1">
      <c r="A1163" s="80"/>
    </row>
    <row r="1164" spans="1:1">
      <c r="A1164" s="80"/>
    </row>
    <row r="1165" spans="1:1">
      <c r="A1165" s="80"/>
    </row>
    <row r="1166" spans="1:1">
      <c r="A1166" s="80"/>
    </row>
    <row r="1167" spans="1:1">
      <c r="A1167" s="80"/>
    </row>
    <row r="1168" spans="1:1">
      <c r="A1168" s="80"/>
    </row>
    <row r="1169" spans="1:1">
      <c r="A1169" s="80"/>
    </row>
    <row r="1170" spans="1:1">
      <c r="A1170" s="80"/>
    </row>
    <row r="1171" spans="1:1">
      <c r="A1171" s="80"/>
    </row>
    <row r="1172" spans="1:1">
      <c r="A1172" s="80"/>
    </row>
    <row r="1173" spans="1:1">
      <c r="A1173" s="80"/>
    </row>
    <row r="1174" spans="1:1">
      <c r="A1174" s="80"/>
    </row>
    <row r="1175" spans="1:1">
      <c r="A1175" s="80"/>
    </row>
    <row r="1176" spans="1:1">
      <c r="A1176" s="80"/>
    </row>
    <row r="1177" spans="1:1">
      <c r="A1177" s="80"/>
    </row>
    <row r="1178" spans="1:1">
      <c r="A1178" s="80"/>
    </row>
    <row r="1179" spans="1:1">
      <c r="A1179" s="80"/>
    </row>
    <row r="1180" spans="1:1">
      <c r="A1180" s="80"/>
    </row>
    <row r="1181" spans="1:1">
      <c r="A1181" s="80"/>
    </row>
    <row r="1182" spans="1:1">
      <c r="A1182" s="80"/>
    </row>
    <row r="1183" spans="1:1">
      <c r="A1183" s="80"/>
    </row>
    <row r="1184" spans="1:1">
      <c r="A1184" s="80"/>
    </row>
    <row r="1185" spans="1:1">
      <c r="A1185" s="80"/>
    </row>
    <row r="1186" spans="1:1">
      <c r="A1186" s="80"/>
    </row>
    <row r="1187" spans="1:1">
      <c r="A1187" s="80"/>
    </row>
    <row r="1188" spans="1:1">
      <c r="A1188" s="80"/>
    </row>
    <row r="1189" spans="1:1">
      <c r="A1189" s="80"/>
    </row>
    <row r="1190" spans="1:1">
      <c r="A1190" s="80"/>
    </row>
    <row r="1191" spans="1:1">
      <c r="A1191" s="80"/>
    </row>
    <row r="1192" spans="1:1">
      <c r="A1192" s="80"/>
    </row>
    <row r="1193" spans="1:1">
      <c r="A1193" s="80"/>
    </row>
    <row r="1194" spans="1:1">
      <c r="A1194" s="80"/>
    </row>
    <row r="1195" spans="1:1">
      <c r="A1195" s="80"/>
    </row>
    <row r="1196" spans="1:1">
      <c r="A1196" s="80"/>
    </row>
    <row r="1197" spans="1:1">
      <c r="A1197" s="80"/>
    </row>
    <row r="1198" spans="1:1">
      <c r="A1198" s="80"/>
    </row>
    <row r="1199" spans="1:1">
      <c r="A1199" s="80"/>
    </row>
    <row r="1200" spans="1:1">
      <c r="A1200" s="80"/>
    </row>
    <row r="1201" spans="1:1">
      <c r="A1201" s="80"/>
    </row>
    <row r="1202" spans="1:1">
      <c r="A1202" s="80"/>
    </row>
    <row r="1203" spans="1:1">
      <c r="A1203" s="80"/>
    </row>
    <row r="1204" spans="1:1">
      <c r="A1204" s="80"/>
    </row>
    <row r="1205" spans="1:1">
      <c r="A1205" s="80"/>
    </row>
    <row r="1206" spans="1:1">
      <c r="A1206" s="80"/>
    </row>
    <row r="1207" spans="1:1">
      <c r="A1207" s="80"/>
    </row>
    <row r="1208" spans="1:1">
      <c r="A1208" s="80"/>
    </row>
    <row r="1209" spans="1:1">
      <c r="A1209" s="80"/>
    </row>
    <row r="1210" spans="1:1">
      <c r="A1210" s="80"/>
    </row>
    <row r="1211" spans="1:1">
      <c r="A1211" s="80"/>
    </row>
    <row r="1212" spans="1:1">
      <c r="A1212" s="80"/>
    </row>
    <row r="1213" spans="1:1">
      <c r="A1213" s="80"/>
    </row>
    <row r="1214" spans="1:1">
      <c r="A1214" s="80"/>
    </row>
    <row r="1215" spans="1:1">
      <c r="A1215" s="80"/>
    </row>
    <row r="1216" spans="1:1">
      <c r="A1216" s="80"/>
    </row>
    <row r="1217" spans="1:1">
      <c r="A1217" s="80"/>
    </row>
    <row r="1218" spans="1:1">
      <c r="A1218" s="80"/>
    </row>
    <row r="1219" spans="1:1">
      <c r="A1219" s="80"/>
    </row>
    <row r="1220" spans="1:1">
      <c r="A1220" s="80"/>
    </row>
    <row r="1221" spans="1:1">
      <c r="A1221" s="80"/>
    </row>
    <row r="1222" spans="1:1">
      <c r="A1222" s="80"/>
    </row>
    <row r="1223" spans="1:1">
      <c r="A1223" s="80"/>
    </row>
    <row r="1224" spans="1:1">
      <c r="A1224" s="80"/>
    </row>
    <row r="1225" spans="1:1">
      <c r="A1225" s="80"/>
    </row>
    <row r="1226" spans="1:1">
      <c r="A1226" s="80"/>
    </row>
    <row r="1227" spans="1:1">
      <c r="A1227" s="80"/>
    </row>
    <row r="1228" spans="1:1">
      <c r="A1228" s="80"/>
    </row>
    <row r="1229" spans="1:1">
      <c r="A1229" s="80"/>
    </row>
    <row r="1230" spans="1:1">
      <c r="A1230" s="80"/>
    </row>
    <row r="1231" spans="1:1">
      <c r="A1231" s="80"/>
    </row>
    <row r="1232" spans="1:1">
      <c r="A1232" s="80"/>
    </row>
    <row r="1233" spans="1:1">
      <c r="A1233" s="80"/>
    </row>
    <row r="1234" spans="1:1">
      <c r="A1234" s="80"/>
    </row>
    <row r="1235" spans="1:1">
      <c r="A1235" s="80"/>
    </row>
    <row r="1236" spans="1:1">
      <c r="A1236" s="80"/>
    </row>
    <row r="1237" spans="1:1">
      <c r="A1237" s="80"/>
    </row>
    <row r="1238" spans="1:1">
      <c r="A1238" s="80"/>
    </row>
    <row r="1239" spans="1:1">
      <c r="A1239" s="80"/>
    </row>
    <row r="1240" spans="1:1">
      <c r="A1240" s="80"/>
    </row>
    <row r="1241" spans="1:1">
      <c r="A1241" s="80"/>
    </row>
    <row r="1242" spans="1:1">
      <c r="A1242" s="80"/>
    </row>
    <row r="1243" spans="1:1">
      <c r="A1243" s="80"/>
    </row>
    <row r="1244" spans="1:1">
      <c r="A1244" s="80"/>
    </row>
    <row r="1245" spans="1:1">
      <c r="A1245" s="80"/>
    </row>
    <row r="1246" spans="1:1">
      <c r="A1246" s="80"/>
    </row>
    <row r="1247" spans="1:1">
      <c r="A1247" s="80"/>
    </row>
    <row r="1248" spans="1:1">
      <c r="A1248" s="80"/>
    </row>
    <row r="1249" spans="1:1">
      <c r="A1249" s="80"/>
    </row>
    <row r="1250" spans="1:1">
      <c r="A1250" s="80"/>
    </row>
    <row r="1251" spans="1:1">
      <c r="A1251" s="80"/>
    </row>
    <row r="1252" spans="1:1">
      <c r="A1252" s="80"/>
    </row>
    <row r="1253" spans="1:1">
      <c r="A1253" s="80"/>
    </row>
    <row r="1254" spans="1:1">
      <c r="A1254" s="80"/>
    </row>
    <row r="1255" spans="1:1">
      <c r="A1255" s="80"/>
    </row>
    <row r="1256" spans="1:1">
      <c r="A1256" s="80"/>
    </row>
    <row r="1257" spans="1:1">
      <c r="A1257" s="80"/>
    </row>
    <row r="1258" spans="1:1">
      <c r="A1258" s="80"/>
    </row>
    <row r="1259" spans="1:1">
      <c r="A1259" s="80"/>
    </row>
    <row r="1260" spans="1:1">
      <c r="A1260" s="80"/>
    </row>
    <row r="1261" spans="1:1">
      <c r="A1261" s="80"/>
    </row>
    <row r="1262" spans="1:1">
      <c r="A1262" s="80"/>
    </row>
    <row r="1263" spans="1:1">
      <c r="A1263" s="80"/>
    </row>
    <row r="1264" spans="1:1">
      <c r="A1264" s="80"/>
    </row>
    <row r="1265" spans="1:1">
      <c r="A1265" s="80"/>
    </row>
    <row r="1266" spans="1:1">
      <c r="A1266" s="80"/>
    </row>
    <row r="1267" spans="1:1">
      <c r="A1267" s="80"/>
    </row>
    <row r="1268" spans="1:1">
      <c r="A1268" s="80"/>
    </row>
    <row r="1269" spans="1:1">
      <c r="A1269" s="80"/>
    </row>
    <row r="1270" spans="1:1">
      <c r="A1270" s="80"/>
    </row>
    <row r="1271" spans="1:1">
      <c r="A1271" s="80"/>
    </row>
    <row r="1272" spans="1:1">
      <c r="A1272" s="80"/>
    </row>
    <row r="1273" spans="1:1">
      <c r="A1273" s="80"/>
    </row>
    <row r="1274" spans="1:1">
      <c r="A1274" s="80"/>
    </row>
    <row r="1275" spans="1:1">
      <c r="A1275" s="80"/>
    </row>
    <row r="1276" spans="1:1">
      <c r="A1276" s="80"/>
    </row>
    <row r="1277" spans="1:1">
      <c r="A1277" s="80"/>
    </row>
    <row r="1278" spans="1:1">
      <c r="A1278" s="80"/>
    </row>
    <row r="1279" spans="1:1">
      <c r="A1279" s="80"/>
    </row>
    <row r="1280" spans="1:1">
      <c r="A1280" s="80"/>
    </row>
    <row r="1281" spans="1:1">
      <c r="A1281" s="80"/>
    </row>
    <row r="1282" spans="1:1">
      <c r="A1282" s="80"/>
    </row>
    <row r="1283" spans="1:1">
      <c r="A1283" s="80"/>
    </row>
    <row r="1284" spans="1:1">
      <c r="A1284" s="80"/>
    </row>
    <row r="1285" spans="1:1">
      <c r="A1285" s="80"/>
    </row>
    <row r="1286" spans="1:1">
      <c r="A1286" s="80"/>
    </row>
    <row r="1287" spans="1:1">
      <c r="A1287" s="80"/>
    </row>
    <row r="1288" spans="1:1">
      <c r="A1288" s="80"/>
    </row>
    <row r="1289" spans="1:1">
      <c r="A1289" s="80"/>
    </row>
    <row r="1290" spans="1:1">
      <c r="A1290" s="80"/>
    </row>
    <row r="1291" spans="1:1">
      <c r="A1291" s="80"/>
    </row>
    <row r="1292" spans="1:1">
      <c r="A1292" s="80"/>
    </row>
    <row r="1293" spans="1:1">
      <c r="A1293" s="80"/>
    </row>
    <row r="1294" spans="1:1">
      <c r="A1294" s="80"/>
    </row>
    <row r="1295" spans="1:1">
      <c r="A1295" s="80"/>
    </row>
    <row r="1296" spans="1:1">
      <c r="A1296" s="80"/>
    </row>
    <row r="1297" spans="1:1">
      <c r="A1297" s="80"/>
    </row>
    <row r="1298" spans="1:1">
      <c r="A1298" s="80"/>
    </row>
    <row r="1299" spans="1:1">
      <c r="A1299" s="80"/>
    </row>
    <row r="1300" spans="1:1">
      <c r="A1300" s="80"/>
    </row>
    <row r="1301" spans="1:1">
      <c r="A1301" s="80"/>
    </row>
    <row r="1302" spans="1:1">
      <c r="A1302" s="80"/>
    </row>
    <row r="1303" spans="1:1">
      <c r="A1303" s="80"/>
    </row>
    <row r="1304" spans="1:1">
      <c r="A1304" s="80"/>
    </row>
    <row r="1305" spans="1:1">
      <c r="A1305" s="80"/>
    </row>
    <row r="1306" spans="1:1">
      <c r="A1306" s="80"/>
    </row>
    <row r="1307" spans="1:1">
      <c r="A1307" s="80"/>
    </row>
    <row r="1308" spans="1:1">
      <c r="A1308" s="80"/>
    </row>
    <row r="1309" spans="1:1">
      <c r="A1309" s="80"/>
    </row>
    <row r="1310" spans="1:1">
      <c r="A1310" s="80"/>
    </row>
    <row r="1311" spans="1:1">
      <c r="A1311" s="80"/>
    </row>
    <row r="1312" spans="1:1">
      <c r="A1312" s="80"/>
    </row>
    <row r="1313" spans="1:1">
      <c r="A1313" s="80"/>
    </row>
    <row r="1314" spans="1:1">
      <c r="A1314" s="80"/>
    </row>
    <row r="1315" spans="1:1">
      <c r="A1315" s="80"/>
    </row>
    <row r="1316" spans="1:1">
      <c r="A1316" s="80"/>
    </row>
    <row r="1317" spans="1:1">
      <c r="A1317" s="80"/>
    </row>
    <row r="1318" spans="1:1">
      <c r="A1318" s="80"/>
    </row>
    <row r="1319" spans="1:1">
      <c r="A1319" s="80"/>
    </row>
    <row r="1320" spans="1:1">
      <c r="A1320" s="80"/>
    </row>
    <row r="1321" spans="1:1">
      <c r="A1321" s="80"/>
    </row>
    <row r="1322" spans="1:1">
      <c r="A1322" s="80"/>
    </row>
    <row r="1323" spans="1:1">
      <c r="A1323" s="80"/>
    </row>
    <row r="1324" spans="1:1">
      <c r="A1324" s="80"/>
    </row>
    <row r="1325" spans="1:1">
      <c r="A1325" s="80"/>
    </row>
    <row r="1326" spans="1:1">
      <c r="A1326" s="80"/>
    </row>
    <row r="1327" spans="1:1">
      <c r="A1327" s="80"/>
    </row>
    <row r="1328" spans="1:1">
      <c r="A1328" s="80"/>
    </row>
    <row r="1329" spans="1:1">
      <c r="A1329" s="80"/>
    </row>
    <row r="1330" spans="1:1">
      <c r="A1330" s="80"/>
    </row>
    <row r="1331" spans="1:1">
      <c r="A1331" s="80"/>
    </row>
    <row r="1332" spans="1:1">
      <c r="A1332" s="80"/>
    </row>
    <row r="1333" spans="1:1">
      <c r="A1333" s="80"/>
    </row>
    <row r="1334" spans="1:1">
      <c r="A1334" s="80"/>
    </row>
    <row r="1335" spans="1:1">
      <c r="A1335" s="80"/>
    </row>
    <row r="1336" spans="1:1">
      <c r="A1336" s="80"/>
    </row>
    <row r="1337" spans="1:1">
      <c r="A1337" s="80"/>
    </row>
    <row r="1338" spans="1:1">
      <c r="A1338" s="80"/>
    </row>
    <row r="1339" spans="1:1">
      <c r="A1339" s="80"/>
    </row>
    <row r="1340" spans="1:1">
      <c r="A1340" s="80"/>
    </row>
    <row r="1341" spans="1:1">
      <c r="A1341" s="80"/>
    </row>
    <row r="1342" spans="1:1">
      <c r="A1342" s="80"/>
    </row>
    <row r="1343" spans="1:1">
      <c r="A1343" s="80"/>
    </row>
    <row r="1344" spans="1:1">
      <c r="A1344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2" fitToWidth="0" fitToHeight="0" orientation="landscape" r:id="rId1"/>
  <headerFooter alignWithMargins="0">
    <oddFooter>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R918"/>
  <sheetViews>
    <sheetView showRuler="0" zoomScaleSheetLayoutView="100" workbookViewId="0">
      <pane xSplit="1" ySplit="8" topLeftCell="B9" activePane="bottomRight" state="frozen"/>
      <selection activeCell="A155" sqref="A155:Q155"/>
      <selection pane="topRight" activeCell="A155" sqref="A155:Q155"/>
      <selection pane="bottomLeft" activeCell="A155" sqref="A155:Q155"/>
      <selection pane="bottomRight" activeCell="A155" sqref="A155:Q155"/>
    </sheetView>
  </sheetViews>
  <sheetFormatPr defaultRowHeight="12.75"/>
  <cols>
    <col min="1" max="1" width="31.1406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209</v>
      </c>
      <c r="B10" s="17">
        <f t="shared" ref="B10:K10" si="0">+B11+B15</f>
        <v>1507593</v>
      </c>
      <c r="C10" s="17">
        <f t="shared" si="0"/>
        <v>522202</v>
      </c>
      <c r="D10" s="17">
        <f t="shared" si="0"/>
        <v>0</v>
      </c>
      <c r="E10" s="17">
        <f t="shared" si="0"/>
        <v>104023</v>
      </c>
      <c r="F10" s="17">
        <f t="shared" si="0"/>
        <v>2133818</v>
      </c>
      <c r="G10" s="17">
        <f t="shared" si="0"/>
        <v>1489815</v>
      </c>
      <c r="H10" s="17">
        <f t="shared" si="0"/>
        <v>172219</v>
      </c>
      <c r="I10" s="17">
        <f t="shared" si="0"/>
        <v>0</v>
      </c>
      <c r="J10" s="17">
        <f t="shared" si="0"/>
        <v>33168</v>
      </c>
      <c r="K10" s="17">
        <f t="shared" si="0"/>
        <v>1695202</v>
      </c>
      <c r="L10" s="17">
        <f>+L11+L15</f>
        <v>17778</v>
      </c>
      <c r="M10" s="17">
        <f>+M11+M15</f>
        <v>349983</v>
      </c>
      <c r="N10" s="17"/>
      <c r="O10" s="17">
        <f>+O11+O15</f>
        <v>70855</v>
      </c>
      <c r="P10" s="17">
        <f>+P11+P15</f>
        <v>438616</v>
      </c>
      <c r="Q10" s="18">
        <f>+K10/F10</f>
        <v>0.79444544942445883</v>
      </c>
    </row>
    <row r="11" spans="1:18" ht="12.75" customHeight="1">
      <c r="A11" s="41" t="s">
        <v>15</v>
      </c>
      <c r="B11" s="20">
        <f t="shared" ref="B11:K11" si="1">+B12+B13+B14</f>
        <v>1507593</v>
      </c>
      <c r="C11" s="20">
        <f t="shared" si="1"/>
        <v>198926</v>
      </c>
      <c r="D11" s="20">
        <f t="shared" si="1"/>
        <v>0</v>
      </c>
      <c r="E11" s="20">
        <f t="shared" si="1"/>
        <v>104023</v>
      </c>
      <c r="F11" s="20">
        <f t="shared" si="1"/>
        <v>1810542</v>
      </c>
      <c r="G11" s="20">
        <f t="shared" si="1"/>
        <v>1489815</v>
      </c>
      <c r="H11" s="20">
        <f t="shared" si="1"/>
        <v>172219</v>
      </c>
      <c r="I11" s="20">
        <f t="shared" si="1"/>
        <v>0</v>
      </c>
      <c r="J11" s="20">
        <f t="shared" si="1"/>
        <v>33168</v>
      </c>
      <c r="K11" s="20">
        <f t="shared" si="1"/>
        <v>1695202</v>
      </c>
      <c r="L11" s="20">
        <f>+L12+L13+L14</f>
        <v>17778</v>
      </c>
      <c r="M11" s="20">
        <f>+M12+M13+M14</f>
        <v>26707</v>
      </c>
      <c r="N11" s="20"/>
      <c r="O11" s="20">
        <f>+O12+O13+O14</f>
        <v>70855</v>
      </c>
      <c r="P11" s="21">
        <f>+P12+P13+P14</f>
        <v>115340</v>
      </c>
      <c r="Q11" s="18"/>
    </row>
    <row r="12" spans="1:18" ht="12.75" customHeight="1">
      <c r="A12" s="22" t="s">
        <v>16</v>
      </c>
      <c r="B12" s="25">
        <v>1430419</v>
      </c>
      <c r="C12" s="25">
        <v>198926</v>
      </c>
      <c r="D12" s="25"/>
      <c r="E12" s="43">
        <v>102989</v>
      </c>
      <c r="F12" s="24">
        <f>SUM(B12:E12)</f>
        <v>1732334</v>
      </c>
      <c r="G12" s="29">
        <f>1372951+41388</f>
        <v>1414339</v>
      </c>
      <c r="H12" s="29">
        <f>213600+7-41388</f>
        <v>172219</v>
      </c>
      <c r="I12" s="29"/>
      <c r="J12" s="29">
        <f>29365+3803</f>
        <v>33168</v>
      </c>
      <c r="K12" s="24">
        <f>SUM(G12:J12)</f>
        <v>1619726</v>
      </c>
      <c r="L12" s="25">
        <f t="shared" ref="L12:M14" si="2">+B12-G12</f>
        <v>16080</v>
      </c>
      <c r="M12" s="25">
        <f t="shared" si="2"/>
        <v>26707</v>
      </c>
      <c r="N12" s="25"/>
      <c r="O12" s="25">
        <f>+E12-J12</f>
        <v>69821</v>
      </c>
      <c r="P12" s="26">
        <f>SUM(L12:O12)</f>
        <v>112608</v>
      </c>
      <c r="Q12" s="18"/>
    </row>
    <row r="13" spans="1:18" ht="12.75" customHeight="1">
      <c r="A13" s="22" t="s">
        <v>17</v>
      </c>
      <c r="B13" s="25">
        <v>15489</v>
      </c>
      <c r="C13" s="25"/>
      <c r="D13" s="25"/>
      <c r="E13" s="43"/>
      <c r="F13" s="24">
        <f>SUM(B13:E13)</f>
        <v>15489</v>
      </c>
      <c r="G13" s="29">
        <f>9613+5116</f>
        <v>14729</v>
      </c>
      <c r="H13" s="34"/>
      <c r="I13" s="34"/>
      <c r="J13" s="34"/>
      <c r="K13" s="24">
        <f>SUM(G13:J13)</f>
        <v>14729</v>
      </c>
      <c r="L13" s="25">
        <f t="shared" si="2"/>
        <v>760</v>
      </c>
      <c r="M13" s="25">
        <f t="shared" si="2"/>
        <v>0</v>
      </c>
      <c r="N13" s="25"/>
      <c r="O13" s="25">
        <f>+E13-J13</f>
        <v>0</v>
      </c>
      <c r="P13" s="26">
        <f>SUM(L13:O13)</f>
        <v>760</v>
      </c>
      <c r="Q13" s="18"/>
    </row>
    <row r="14" spans="1:18" ht="12.75" customHeight="1">
      <c r="A14" s="22" t="s">
        <v>18</v>
      </c>
      <c r="B14" s="25">
        <v>61685</v>
      </c>
      <c r="C14" s="25"/>
      <c r="D14" s="25"/>
      <c r="E14" s="43">
        <v>1034</v>
      </c>
      <c r="F14" s="24">
        <f>SUM(B14:E14)</f>
        <v>62719</v>
      </c>
      <c r="G14" s="29">
        <f>64550-3803</f>
        <v>60747</v>
      </c>
      <c r="H14" s="34"/>
      <c r="I14" s="34"/>
      <c r="J14" s="29"/>
      <c r="K14" s="24">
        <f>SUM(G14:J14)</f>
        <v>60747</v>
      </c>
      <c r="L14" s="25">
        <f t="shared" si="2"/>
        <v>938</v>
      </c>
      <c r="M14" s="25">
        <f t="shared" si="2"/>
        <v>0</v>
      </c>
      <c r="N14" s="25"/>
      <c r="O14" s="25">
        <f>+E14-J14</f>
        <v>1034</v>
      </c>
      <c r="P14" s="26">
        <f>SUM(L14:O14)</f>
        <v>1972</v>
      </c>
      <c r="Q14" s="18"/>
    </row>
    <row r="15" spans="1:18" ht="12.75" customHeight="1">
      <c r="A15" s="22" t="s">
        <v>19</v>
      </c>
      <c r="B15" s="44">
        <f t="shared" ref="B15:K15" si="3">+B16+B17</f>
        <v>0</v>
      </c>
      <c r="C15" s="44">
        <f t="shared" si="3"/>
        <v>323276</v>
      </c>
      <c r="D15" s="44">
        <f t="shared" si="3"/>
        <v>0</v>
      </c>
      <c r="E15" s="44">
        <f t="shared" si="3"/>
        <v>0</v>
      </c>
      <c r="F15" s="44">
        <f t="shared" si="3"/>
        <v>323276</v>
      </c>
      <c r="G15" s="44">
        <f t="shared" si="3"/>
        <v>0</v>
      </c>
      <c r="H15" s="44">
        <f t="shared" si="3"/>
        <v>0</v>
      </c>
      <c r="I15" s="44">
        <f t="shared" si="3"/>
        <v>0</v>
      </c>
      <c r="J15" s="44">
        <f t="shared" si="3"/>
        <v>0</v>
      </c>
      <c r="K15" s="44">
        <f t="shared" si="3"/>
        <v>0</v>
      </c>
      <c r="L15" s="44">
        <f>+L16+L17</f>
        <v>0</v>
      </c>
      <c r="M15" s="44">
        <f>+M16+M17</f>
        <v>323276</v>
      </c>
      <c r="N15" s="44"/>
      <c r="O15" s="44">
        <f>+O16+O17</f>
        <v>0</v>
      </c>
      <c r="P15" s="45">
        <f>+P16+P17</f>
        <v>323276</v>
      </c>
      <c r="Q15" s="18"/>
    </row>
    <row r="16" spans="1:18" ht="12.75" customHeight="1">
      <c r="A16" s="23" t="s">
        <v>20</v>
      </c>
      <c r="B16" s="25"/>
      <c r="C16" s="25">
        <v>323276</v>
      </c>
      <c r="D16" s="25"/>
      <c r="E16" s="43">
        <f>+J16</f>
        <v>0</v>
      </c>
      <c r="F16" s="24">
        <f>SUM(B16:E16)</f>
        <v>323276</v>
      </c>
      <c r="G16" s="29"/>
      <c r="H16" s="29"/>
      <c r="I16" s="29"/>
      <c r="J16" s="29"/>
      <c r="K16" s="24">
        <f>SUM(G16:J16)</f>
        <v>0</v>
      </c>
      <c r="L16" s="25">
        <f>+B16-G16</f>
        <v>0</v>
      </c>
      <c r="M16" s="25">
        <f>+C16-H16</f>
        <v>323276</v>
      </c>
      <c r="N16" s="25"/>
      <c r="O16" s="25">
        <f>+E16-J16</f>
        <v>0</v>
      </c>
      <c r="P16" s="26">
        <f>SUM(L16:O16)</f>
        <v>323276</v>
      </c>
      <c r="Q16" s="18"/>
    </row>
    <row r="17" spans="1:17" ht="12.75" customHeight="1">
      <c r="A17" s="23" t="s">
        <v>21</v>
      </c>
      <c r="B17" s="25"/>
      <c r="C17" s="25"/>
      <c r="D17" s="25"/>
      <c r="E17" s="43"/>
      <c r="F17" s="24">
        <f>SUM(B17:E17)</f>
        <v>0</v>
      </c>
      <c r="G17" s="29"/>
      <c r="H17" s="29"/>
      <c r="I17" s="29"/>
      <c r="J17" s="29"/>
      <c r="K17" s="24">
        <f>SUM(G17:J17)</f>
        <v>0</v>
      </c>
      <c r="L17" s="25">
        <f>+B17-G17</f>
        <v>0</v>
      </c>
      <c r="M17" s="25">
        <f>+C17-H17</f>
        <v>0</v>
      </c>
      <c r="N17" s="25"/>
      <c r="O17" s="25">
        <f>+E17-J17</f>
        <v>0</v>
      </c>
      <c r="P17" s="26">
        <f>SUM(L17:O17)</f>
        <v>0</v>
      </c>
      <c r="Q17" s="18"/>
    </row>
    <row r="18" spans="1:17" ht="12.75" customHeight="1">
      <c r="A18" s="83"/>
      <c r="B18" s="77"/>
      <c r="C18" s="77"/>
      <c r="D18" s="77"/>
      <c r="E18" s="75"/>
      <c r="F18" s="77"/>
      <c r="G18" s="82"/>
      <c r="H18" s="82"/>
      <c r="I18" s="82"/>
      <c r="J18" s="82"/>
      <c r="K18" s="82"/>
      <c r="L18" s="77"/>
      <c r="M18" s="77"/>
      <c r="N18" s="77"/>
      <c r="O18" s="77"/>
      <c r="P18" s="75"/>
      <c r="Q18" s="76"/>
    </row>
    <row r="19" spans="1:17">
      <c r="A19" s="80"/>
    </row>
    <row r="20" spans="1:17">
      <c r="A20" s="80"/>
    </row>
    <row r="21" spans="1:17">
      <c r="A21" s="80"/>
    </row>
    <row r="22" spans="1:17">
      <c r="A22" s="80"/>
    </row>
    <row r="23" spans="1:17">
      <c r="A23" s="80"/>
    </row>
    <row r="24" spans="1:17">
      <c r="A24" s="80"/>
    </row>
    <row r="25" spans="1:17">
      <c r="A25" s="80"/>
    </row>
    <row r="26" spans="1:17">
      <c r="A26" s="80"/>
    </row>
    <row r="27" spans="1:17">
      <c r="A27" s="80"/>
    </row>
    <row r="28" spans="1:17">
      <c r="A28" s="80"/>
    </row>
    <row r="29" spans="1:17">
      <c r="A29" s="80"/>
    </row>
    <row r="30" spans="1:17">
      <c r="A30" s="80"/>
    </row>
    <row r="31" spans="1:17">
      <c r="A31" s="80"/>
    </row>
    <row r="32" spans="1:17">
      <c r="A32" s="80"/>
    </row>
    <row r="33" spans="1:1">
      <c r="A33" s="80"/>
    </row>
    <row r="34" spans="1:1">
      <c r="A34" s="80"/>
    </row>
    <row r="35" spans="1:1">
      <c r="A35" s="80"/>
    </row>
    <row r="36" spans="1:1">
      <c r="A36" s="80"/>
    </row>
    <row r="37" spans="1:1">
      <c r="A37" s="80"/>
    </row>
    <row r="38" spans="1:1">
      <c r="A38" s="80"/>
    </row>
    <row r="39" spans="1:1">
      <c r="A39" s="80"/>
    </row>
    <row r="40" spans="1:1">
      <c r="A40" s="80"/>
    </row>
    <row r="41" spans="1:1">
      <c r="A41" s="80"/>
    </row>
    <row r="42" spans="1:1">
      <c r="A42" s="80"/>
    </row>
    <row r="43" spans="1:1">
      <c r="A43" s="80"/>
    </row>
    <row r="44" spans="1:1">
      <c r="A44" s="80"/>
    </row>
    <row r="45" spans="1:1">
      <c r="A45" s="80"/>
    </row>
    <row r="46" spans="1:1">
      <c r="A46" s="80"/>
    </row>
    <row r="47" spans="1:1">
      <c r="A47" s="80"/>
    </row>
    <row r="48" spans="1:1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  <row r="61" spans="1:1">
      <c r="A61" s="80"/>
    </row>
    <row r="62" spans="1:1">
      <c r="A62" s="80"/>
    </row>
    <row r="63" spans="1:1">
      <c r="A63" s="80"/>
    </row>
    <row r="64" spans="1:1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2" fitToWidth="0" fitToHeight="0" orientation="landscape" r:id="rId1"/>
  <headerFooter alignWithMargins="0">
    <oddFooter>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R937"/>
  <sheetViews>
    <sheetView showRuler="0" zoomScaleSheetLayoutView="100" workbookViewId="0">
      <pane xSplit="1" ySplit="8" topLeftCell="B9" activePane="bottomRight" state="frozen"/>
      <selection activeCell="A155" sqref="A155:Q155"/>
      <selection pane="topRight" activeCell="A155" sqref="A155:Q155"/>
      <selection pane="bottomLeft" activeCell="A155" sqref="A155:Q155"/>
      <selection pane="bottomRight" activeCell="A155" sqref="A155:Q155"/>
    </sheetView>
  </sheetViews>
  <sheetFormatPr defaultRowHeight="12.75"/>
  <cols>
    <col min="1" max="1" width="32.57031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72" t="s">
        <v>210</v>
      </c>
      <c r="B10" s="17">
        <f t="shared" ref="B10:F10" si="0">+B11+B15</f>
        <v>272099</v>
      </c>
      <c r="C10" s="17">
        <f t="shared" si="0"/>
        <v>87882</v>
      </c>
      <c r="D10" s="17">
        <f t="shared" si="0"/>
        <v>0</v>
      </c>
      <c r="E10" s="17">
        <f t="shared" si="0"/>
        <v>12835</v>
      </c>
      <c r="F10" s="17">
        <f t="shared" si="0"/>
        <v>372816</v>
      </c>
      <c r="G10" s="17">
        <f>+G11+G15</f>
        <v>272099</v>
      </c>
      <c r="H10" s="17">
        <f>+H11+H15</f>
        <v>87847</v>
      </c>
      <c r="I10" s="17"/>
      <c r="J10" s="17">
        <f>+J11+J15</f>
        <v>11384</v>
      </c>
      <c r="K10" s="17">
        <f t="shared" ref="K10" si="1">+K11+K15</f>
        <v>371330</v>
      </c>
      <c r="L10" s="17">
        <f>+L11+L15</f>
        <v>0</v>
      </c>
      <c r="M10" s="17">
        <f>+M11+M15</f>
        <v>35</v>
      </c>
      <c r="N10" s="17"/>
      <c r="O10" s="17">
        <f>+O11+O15</f>
        <v>1451</v>
      </c>
      <c r="P10" s="17">
        <f>+P11+P15</f>
        <v>1486</v>
      </c>
      <c r="Q10" s="18">
        <f>+K10/F10</f>
        <v>0.99601411956568386</v>
      </c>
    </row>
    <row r="11" spans="1:18" ht="12.75" customHeight="1">
      <c r="A11" s="41" t="s">
        <v>15</v>
      </c>
      <c r="B11" s="20">
        <f t="shared" ref="B11:J11" si="2">+B12+B13+B14</f>
        <v>272099</v>
      </c>
      <c r="C11" s="20">
        <f t="shared" si="2"/>
        <v>87880</v>
      </c>
      <c r="D11" s="20">
        <f t="shared" si="2"/>
        <v>0</v>
      </c>
      <c r="E11" s="20">
        <f t="shared" si="2"/>
        <v>12690</v>
      </c>
      <c r="F11" s="20">
        <f t="shared" si="2"/>
        <v>372669</v>
      </c>
      <c r="G11" s="20">
        <f t="shared" si="2"/>
        <v>272099</v>
      </c>
      <c r="H11" s="20">
        <f t="shared" si="2"/>
        <v>87845</v>
      </c>
      <c r="I11" s="20"/>
      <c r="J11" s="20">
        <f t="shared" si="2"/>
        <v>11239</v>
      </c>
      <c r="K11" s="20">
        <f>+K12+K13+K14</f>
        <v>371183</v>
      </c>
      <c r="L11" s="20">
        <f>+L12+L13+L14</f>
        <v>0</v>
      </c>
      <c r="M11" s="20">
        <f>+M12+M13+M14</f>
        <v>35</v>
      </c>
      <c r="N11" s="20"/>
      <c r="O11" s="20">
        <f>+O12+O13+O14</f>
        <v>1451</v>
      </c>
      <c r="P11" s="21">
        <f>+P12+P13+P14</f>
        <v>1486</v>
      </c>
      <c r="Q11" s="18"/>
    </row>
    <row r="12" spans="1:18" ht="12.75" customHeight="1">
      <c r="A12" s="22" t="s">
        <v>16</v>
      </c>
      <c r="B12" s="25">
        <v>226353</v>
      </c>
      <c r="C12" s="25">
        <v>87880</v>
      </c>
      <c r="D12" s="25"/>
      <c r="E12" s="43">
        <v>12690</v>
      </c>
      <c r="F12" s="24">
        <f>SUM(B12:E12)</f>
        <v>326923</v>
      </c>
      <c r="G12" s="29">
        <v>226353</v>
      </c>
      <c r="H12" s="29">
        <f>87847-2</f>
        <v>87845</v>
      </c>
      <c r="I12" s="29"/>
      <c r="J12" s="29">
        <f>11384-145</f>
        <v>11239</v>
      </c>
      <c r="K12" s="24">
        <f>SUM(G12:J12)</f>
        <v>325437</v>
      </c>
      <c r="L12" s="25">
        <f t="shared" ref="L12:M14" si="3">+B12-G12</f>
        <v>0</v>
      </c>
      <c r="M12" s="25">
        <f t="shared" si="3"/>
        <v>35</v>
      </c>
      <c r="N12" s="25"/>
      <c r="O12" s="25">
        <f>+E12-J12</f>
        <v>1451</v>
      </c>
      <c r="P12" s="26">
        <f>SUM(L12:O12)</f>
        <v>1486</v>
      </c>
      <c r="Q12" s="18"/>
    </row>
    <row r="13" spans="1:18" ht="12.75" customHeight="1">
      <c r="A13" s="22" t="s">
        <v>17</v>
      </c>
      <c r="B13" s="25">
        <v>24869</v>
      </c>
      <c r="C13" s="25"/>
      <c r="D13" s="25"/>
      <c r="E13" s="43"/>
      <c r="F13" s="24">
        <f>SUM(B13:E13)</f>
        <v>24869</v>
      </c>
      <c r="G13" s="29">
        <v>24869</v>
      </c>
      <c r="H13" s="34"/>
      <c r="I13" s="34"/>
      <c r="J13" s="34"/>
      <c r="K13" s="24">
        <f>SUM(G13:J13)</f>
        <v>24869</v>
      </c>
      <c r="L13" s="25">
        <f t="shared" si="3"/>
        <v>0</v>
      </c>
      <c r="M13" s="25">
        <f t="shared" si="3"/>
        <v>0</v>
      </c>
      <c r="N13" s="25"/>
      <c r="O13" s="25">
        <f>+E13-J13</f>
        <v>0</v>
      </c>
      <c r="P13" s="26">
        <f>SUM(L13:O13)</f>
        <v>0</v>
      </c>
      <c r="Q13" s="18"/>
    </row>
    <row r="14" spans="1:18" ht="12.75" customHeight="1">
      <c r="A14" s="22" t="s">
        <v>18</v>
      </c>
      <c r="B14" s="25">
        <v>20877</v>
      </c>
      <c r="C14" s="25"/>
      <c r="D14" s="25"/>
      <c r="E14" s="43"/>
      <c r="F14" s="24">
        <f>SUM(B14:E14)</f>
        <v>20877</v>
      </c>
      <c r="G14" s="29">
        <v>20877</v>
      </c>
      <c r="H14" s="34"/>
      <c r="I14" s="34"/>
      <c r="J14" s="34"/>
      <c r="K14" s="24">
        <f>SUM(G14:J14)</f>
        <v>20877</v>
      </c>
      <c r="L14" s="25">
        <f t="shared" si="3"/>
        <v>0</v>
      </c>
      <c r="M14" s="25">
        <f t="shared" si="3"/>
        <v>0</v>
      </c>
      <c r="N14" s="25"/>
      <c r="O14" s="25">
        <f>+E14-J14</f>
        <v>0</v>
      </c>
      <c r="P14" s="26">
        <f>SUM(L14:O14)</f>
        <v>0</v>
      </c>
      <c r="Q14" s="18"/>
    </row>
    <row r="15" spans="1:18" ht="12.75" customHeight="1">
      <c r="A15" s="22" t="s">
        <v>19</v>
      </c>
      <c r="B15" s="44">
        <f t="shared" ref="B15:K15" si="4">+B16+B17</f>
        <v>0</v>
      </c>
      <c r="C15" s="44">
        <f t="shared" si="4"/>
        <v>2</v>
      </c>
      <c r="D15" s="44">
        <f t="shared" si="4"/>
        <v>0</v>
      </c>
      <c r="E15" s="44">
        <f t="shared" si="4"/>
        <v>145</v>
      </c>
      <c r="F15" s="44">
        <f t="shared" si="4"/>
        <v>147</v>
      </c>
      <c r="G15" s="27">
        <f t="shared" si="4"/>
        <v>0</v>
      </c>
      <c r="H15" s="27">
        <f t="shared" si="4"/>
        <v>2</v>
      </c>
      <c r="I15" s="27"/>
      <c r="J15" s="27">
        <f t="shared" si="4"/>
        <v>145</v>
      </c>
      <c r="K15" s="27">
        <f t="shared" si="4"/>
        <v>147</v>
      </c>
      <c r="L15" s="44">
        <f>+L16+L17</f>
        <v>0</v>
      </c>
      <c r="M15" s="44">
        <f>+M16+M17</f>
        <v>0</v>
      </c>
      <c r="N15" s="44"/>
      <c r="O15" s="44">
        <f>+O16+O17</f>
        <v>0</v>
      </c>
      <c r="P15" s="45">
        <f>+P16+P17</f>
        <v>0</v>
      </c>
      <c r="Q15" s="18"/>
    </row>
    <row r="16" spans="1:18" ht="12.75" customHeight="1">
      <c r="A16" s="23" t="s">
        <v>20</v>
      </c>
      <c r="B16" s="25"/>
      <c r="C16" s="25">
        <v>2</v>
      </c>
      <c r="D16" s="25"/>
      <c r="E16" s="43">
        <v>145</v>
      </c>
      <c r="F16" s="24">
        <f>SUM(B16:E16)</f>
        <v>147</v>
      </c>
      <c r="G16" s="29"/>
      <c r="H16" s="29">
        <f>3-1</f>
        <v>2</v>
      </c>
      <c r="I16" s="29"/>
      <c r="J16" s="29">
        <v>145</v>
      </c>
      <c r="K16" s="24">
        <f>SUM(G16:J16)</f>
        <v>147</v>
      </c>
      <c r="L16" s="25">
        <f>+B16-G16</f>
        <v>0</v>
      </c>
      <c r="M16" s="25">
        <f>+C16-H16</f>
        <v>0</v>
      </c>
      <c r="N16" s="25"/>
      <c r="O16" s="25">
        <f>+E16-J16</f>
        <v>0</v>
      </c>
      <c r="P16" s="26">
        <f>SUM(L16:O16)</f>
        <v>0</v>
      </c>
      <c r="Q16" s="18"/>
    </row>
    <row r="17" spans="1:17" ht="12.75" customHeight="1">
      <c r="A17" s="23" t="s">
        <v>21</v>
      </c>
      <c r="B17" s="25"/>
      <c r="C17" s="25"/>
      <c r="D17" s="25"/>
      <c r="E17" s="43"/>
      <c r="F17" s="24">
        <f>SUM(B17:E17)</f>
        <v>0</v>
      </c>
      <c r="G17" s="29"/>
      <c r="H17" s="29"/>
      <c r="I17" s="29"/>
      <c r="J17" s="29"/>
      <c r="K17" s="24">
        <f>SUM(G17:J17)</f>
        <v>0</v>
      </c>
      <c r="L17" s="25">
        <f>+B17-G17</f>
        <v>0</v>
      </c>
      <c r="M17" s="25">
        <f>+C17-H17</f>
        <v>0</v>
      </c>
      <c r="N17" s="25"/>
      <c r="O17" s="25">
        <f>+E17-J17</f>
        <v>0</v>
      </c>
      <c r="P17" s="26">
        <f>SUM(L17:O17)</f>
        <v>0</v>
      </c>
      <c r="Q17" s="18"/>
    </row>
    <row r="18" spans="1:17">
      <c r="A18" s="83"/>
      <c r="B18" s="77"/>
      <c r="C18" s="77"/>
      <c r="D18" s="77"/>
      <c r="E18" s="75"/>
      <c r="F18" s="77"/>
      <c r="G18" s="82"/>
      <c r="H18" s="82"/>
      <c r="I18" s="82"/>
      <c r="J18" s="82"/>
      <c r="K18" s="82"/>
      <c r="L18" s="77"/>
      <c r="M18" s="77"/>
      <c r="N18" s="77"/>
      <c r="O18" s="77"/>
      <c r="P18" s="75"/>
      <c r="Q18" s="76"/>
    </row>
    <row r="19" spans="1:17">
      <c r="A19" s="80"/>
    </row>
    <row r="20" spans="1:17">
      <c r="A20" s="80"/>
    </row>
    <row r="21" spans="1:17">
      <c r="A21" s="80"/>
    </row>
    <row r="22" spans="1:17">
      <c r="A22" s="80"/>
    </row>
    <row r="23" spans="1:17">
      <c r="A23" s="80"/>
    </row>
    <row r="24" spans="1:17">
      <c r="A24" s="80"/>
    </row>
    <row r="25" spans="1:17">
      <c r="A25" s="80"/>
    </row>
    <row r="26" spans="1:17">
      <c r="A26" s="80"/>
    </row>
    <row r="27" spans="1:17">
      <c r="A27" s="80"/>
    </row>
    <row r="28" spans="1:17">
      <c r="A28" s="80"/>
    </row>
    <row r="29" spans="1:17">
      <c r="A29" s="80"/>
    </row>
    <row r="30" spans="1:17">
      <c r="A30" s="80"/>
    </row>
    <row r="31" spans="1:17">
      <c r="A31" s="80"/>
    </row>
    <row r="32" spans="1:17">
      <c r="A32" s="80"/>
    </row>
    <row r="33" spans="1:1">
      <c r="A33" s="80"/>
    </row>
    <row r="34" spans="1:1">
      <c r="A34" s="80"/>
    </row>
    <row r="35" spans="1:1">
      <c r="A35" s="80"/>
    </row>
    <row r="36" spans="1:1">
      <c r="A36" s="80"/>
    </row>
    <row r="37" spans="1:1">
      <c r="A37" s="80"/>
    </row>
    <row r="38" spans="1:1">
      <c r="A38" s="80"/>
    </row>
    <row r="39" spans="1:1">
      <c r="A39" s="80"/>
    </row>
    <row r="40" spans="1:1">
      <c r="A40" s="80"/>
    </row>
    <row r="41" spans="1:1">
      <c r="A41" s="80"/>
    </row>
    <row r="42" spans="1:1">
      <c r="A42" s="80"/>
    </row>
    <row r="43" spans="1:1">
      <c r="A43" s="80"/>
    </row>
    <row r="44" spans="1:1">
      <c r="A44" s="80"/>
    </row>
    <row r="45" spans="1:1">
      <c r="A45" s="80"/>
    </row>
    <row r="46" spans="1:1">
      <c r="A46" s="80"/>
    </row>
    <row r="47" spans="1:1">
      <c r="A47" s="80"/>
    </row>
    <row r="48" spans="1:1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  <row r="61" spans="1:1">
      <c r="A61" s="80"/>
    </row>
    <row r="62" spans="1:1">
      <c r="A62" s="80"/>
    </row>
    <row r="63" spans="1:1">
      <c r="A63" s="80"/>
    </row>
    <row r="64" spans="1:1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2" fitToWidth="0" fitToHeight="0" orientation="landscape" r:id="rId1"/>
  <headerFooter alignWithMargins="0">
    <oddFooter>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C1408"/>
  <sheetViews>
    <sheetView showRuler="0" workbookViewId="0">
      <pane xSplit="4" ySplit="7" topLeftCell="E1130" activePane="bottomRight" state="frozen"/>
      <selection activeCell="J21" sqref="J21"/>
      <selection pane="topRight" activeCell="J21" sqref="J21"/>
      <selection pane="bottomLeft" activeCell="J21" sqref="J21"/>
      <selection pane="bottomRight" activeCell="J21" sqref="J21"/>
    </sheetView>
  </sheetViews>
  <sheetFormatPr defaultRowHeight="12.75"/>
  <cols>
    <col min="1" max="1" width="40.5703125" style="172" customWidth="1"/>
    <col min="2" max="4" width="13.7109375" style="172" hidden="1" customWidth="1"/>
    <col min="5" max="5" width="10.5703125" style="92" customWidth="1"/>
    <col min="6" max="6" width="12.28515625" style="92" bestFit="1" customWidth="1"/>
    <col min="7" max="7" width="12.42578125" style="92" bestFit="1" customWidth="1"/>
    <col min="8" max="8" width="10.85546875" style="92" customWidth="1"/>
    <col min="9" max="9" width="12.7109375" style="92" bestFit="1" customWidth="1"/>
    <col min="10" max="11" width="12" style="92" bestFit="1" customWidth="1"/>
    <col min="12" max="12" width="11" style="92" customWidth="1"/>
    <col min="13" max="13" width="10.42578125" style="92" customWidth="1"/>
    <col min="14" max="15" width="12" style="92" bestFit="1" customWidth="1"/>
    <col min="16" max="16" width="11" style="92" customWidth="1"/>
    <col min="17" max="17" width="9.5703125" style="92" bestFit="1" customWidth="1"/>
    <col min="18" max="18" width="30.7109375" style="92" hidden="1" customWidth="1"/>
    <col min="19" max="20" width="10" style="92" hidden="1" customWidth="1"/>
    <col min="21" max="22" width="9.28515625" style="92" hidden="1" customWidth="1"/>
    <col min="23" max="23" width="11.140625" style="92" bestFit="1" customWidth="1"/>
    <col min="24" max="16384" width="9.140625" style="92"/>
  </cols>
  <sheetData>
    <row r="1" spans="1:17" s="87" customFormat="1">
      <c r="A1" s="86" t="s">
        <v>0</v>
      </c>
      <c r="B1" s="86"/>
      <c r="C1" s="86"/>
      <c r="D1" s="86"/>
    </row>
    <row r="2" spans="1:17" s="87" customFormat="1">
      <c r="A2" s="86" t="str">
        <f>+'[1]by agency'!A2</f>
        <v>AS OF DECEMBER 31, 2014</v>
      </c>
      <c r="B2" s="86"/>
      <c r="C2" s="86"/>
      <c r="D2" s="86"/>
    </row>
    <row r="3" spans="1:17" s="87" customFormat="1">
      <c r="A3" s="86" t="s">
        <v>3</v>
      </c>
      <c r="B3" s="86"/>
      <c r="C3" s="86"/>
      <c r="D3" s="86"/>
    </row>
    <row r="4" spans="1:17" s="87" customFormat="1">
      <c r="A4" s="86"/>
      <c r="B4" s="86"/>
      <c r="C4" s="86"/>
      <c r="D4" s="86"/>
    </row>
    <row r="5" spans="1:17" s="87" customFormat="1" ht="12.75" customHeight="1">
      <c r="A5" s="256" t="s">
        <v>213</v>
      </c>
      <c r="B5" s="259" t="s">
        <v>214</v>
      </c>
      <c r="C5" s="260"/>
      <c r="D5" s="260"/>
      <c r="E5" s="261" t="s">
        <v>366</v>
      </c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3"/>
      <c r="Q5" s="264" t="s">
        <v>8</v>
      </c>
    </row>
    <row r="6" spans="1:17" s="87" customFormat="1" ht="12.75" customHeight="1">
      <c r="A6" s="257"/>
      <c r="B6" s="88" t="s">
        <v>215</v>
      </c>
      <c r="C6" s="267" t="s">
        <v>216</v>
      </c>
      <c r="D6" s="269" t="s">
        <v>217</v>
      </c>
      <c r="E6" s="261" t="s">
        <v>218</v>
      </c>
      <c r="F6" s="262"/>
      <c r="G6" s="262"/>
      <c r="H6" s="263"/>
      <c r="I6" s="261" t="s">
        <v>6</v>
      </c>
      <c r="J6" s="262"/>
      <c r="K6" s="262"/>
      <c r="L6" s="263"/>
      <c r="M6" s="261" t="s">
        <v>219</v>
      </c>
      <c r="N6" s="262"/>
      <c r="O6" s="262"/>
      <c r="P6" s="263"/>
      <c r="Q6" s="265"/>
    </row>
    <row r="7" spans="1:17" ht="12.75" customHeight="1">
      <c r="A7" s="258"/>
      <c r="B7" s="89" t="s">
        <v>220</v>
      </c>
      <c r="C7" s="268"/>
      <c r="D7" s="270"/>
      <c r="E7" s="90" t="s">
        <v>9</v>
      </c>
      <c r="F7" s="90" t="s">
        <v>10</v>
      </c>
      <c r="G7" s="90" t="s">
        <v>12</v>
      </c>
      <c r="H7" s="91" t="s">
        <v>221</v>
      </c>
      <c r="I7" s="90" t="s">
        <v>9</v>
      </c>
      <c r="J7" s="90" t="s">
        <v>10</v>
      </c>
      <c r="K7" s="90" t="s">
        <v>12</v>
      </c>
      <c r="L7" s="91" t="s">
        <v>221</v>
      </c>
      <c r="M7" s="90" t="s">
        <v>9</v>
      </c>
      <c r="N7" s="90" t="s">
        <v>10</v>
      </c>
      <c r="O7" s="90" t="s">
        <v>12</v>
      </c>
      <c r="P7" s="91" t="s">
        <v>221</v>
      </c>
      <c r="Q7" s="266"/>
    </row>
    <row r="8" spans="1:17">
      <c r="A8" s="93"/>
      <c r="B8" s="94"/>
      <c r="C8" s="94"/>
      <c r="D8" s="94"/>
      <c r="E8" s="95"/>
      <c r="F8" s="95"/>
      <c r="G8" s="95"/>
      <c r="H8" s="95"/>
      <c r="I8" s="95"/>
      <c r="J8" s="96"/>
      <c r="K8" s="96"/>
      <c r="L8" s="97"/>
      <c r="M8" s="95"/>
      <c r="N8" s="98"/>
      <c r="O8" s="95"/>
      <c r="P8" s="99"/>
      <c r="Q8" s="100"/>
    </row>
    <row r="9" spans="1:17" ht="12.75" customHeight="1">
      <c r="A9" s="101" t="s">
        <v>222</v>
      </c>
      <c r="B9" s="102">
        <f>+B10+B14</f>
        <v>12467661</v>
      </c>
      <c r="C9" s="102">
        <f>+C10+C14</f>
        <v>422569</v>
      </c>
      <c r="D9" s="102">
        <f>+D10+D14</f>
        <v>12890230</v>
      </c>
      <c r="E9" s="102">
        <f>+E10+E14</f>
        <v>8902520</v>
      </c>
      <c r="F9" s="102">
        <f t="shared" ref="F9:P9" si="0">+F10+F14</f>
        <v>2723280</v>
      </c>
      <c r="G9" s="102">
        <f t="shared" si="0"/>
        <v>1552015</v>
      </c>
      <c r="H9" s="102">
        <f t="shared" si="0"/>
        <v>13177815</v>
      </c>
      <c r="I9" s="45">
        <f t="shared" si="0"/>
        <v>8459960</v>
      </c>
      <c r="J9" s="45">
        <f t="shared" si="0"/>
        <v>2481271</v>
      </c>
      <c r="K9" s="45">
        <f t="shared" si="0"/>
        <v>1254801</v>
      </c>
      <c r="L9" s="103">
        <f t="shared" si="0"/>
        <v>12196032</v>
      </c>
      <c r="M9" s="102">
        <f t="shared" si="0"/>
        <v>442560</v>
      </c>
      <c r="N9" s="104">
        <f t="shared" si="0"/>
        <v>242009</v>
      </c>
      <c r="O9" s="102">
        <f t="shared" si="0"/>
        <v>297214</v>
      </c>
      <c r="P9" s="105">
        <f t="shared" si="0"/>
        <v>981783</v>
      </c>
      <c r="Q9" s="106">
        <f>+L9/H9</f>
        <v>0.92549728464089076</v>
      </c>
    </row>
    <row r="10" spans="1:17" ht="12.75" customHeight="1">
      <c r="A10" s="107" t="s">
        <v>15</v>
      </c>
      <c r="B10" s="108">
        <f>SUM(B11:B13)</f>
        <v>12467661</v>
      </c>
      <c r="C10" s="108">
        <f>SUM(C11:C13)</f>
        <v>422569</v>
      </c>
      <c r="D10" s="108">
        <f>SUM(D11:D13)</f>
        <v>12890230</v>
      </c>
      <c r="E10" s="108">
        <f>SUM(E11:E13)</f>
        <v>8902520</v>
      </c>
      <c r="F10" s="108">
        <f t="shared" ref="F10:P10" si="1">SUM(F11:F13)</f>
        <v>2723280</v>
      </c>
      <c r="G10" s="108">
        <f t="shared" si="1"/>
        <v>1552015</v>
      </c>
      <c r="H10" s="108">
        <f t="shared" si="1"/>
        <v>13177815</v>
      </c>
      <c r="I10" s="109">
        <f t="shared" si="1"/>
        <v>8459960</v>
      </c>
      <c r="J10" s="109">
        <f t="shared" si="1"/>
        <v>2481271</v>
      </c>
      <c r="K10" s="109">
        <f t="shared" si="1"/>
        <v>1254801</v>
      </c>
      <c r="L10" s="110">
        <f t="shared" si="1"/>
        <v>12196032</v>
      </c>
      <c r="M10" s="108">
        <f t="shared" si="1"/>
        <v>442560</v>
      </c>
      <c r="N10" s="111">
        <f t="shared" si="1"/>
        <v>242009</v>
      </c>
      <c r="O10" s="108">
        <f t="shared" si="1"/>
        <v>297214</v>
      </c>
      <c r="P10" s="112">
        <f t="shared" si="1"/>
        <v>981783</v>
      </c>
      <c r="Q10" s="106"/>
    </row>
    <row r="11" spans="1:17" ht="12.75" customHeight="1">
      <c r="A11" s="113" t="s">
        <v>16</v>
      </c>
      <c r="B11" s="114">
        <f t="shared" ref="B11:G13" si="2">+B20+B29+B38+B47+B56+B65+B74+B83</f>
        <v>11760370</v>
      </c>
      <c r="C11" s="114">
        <f t="shared" si="2"/>
        <v>0</v>
      </c>
      <c r="D11" s="114">
        <f t="shared" si="2"/>
        <v>11760370</v>
      </c>
      <c r="E11" s="114">
        <f t="shared" si="2"/>
        <v>7784502</v>
      </c>
      <c r="F11" s="114">
        <f t="shared" si="2"/>
        <v>2721780</v>
      </c>
      <c r="G11" s="114">
        <f t="shared" si="2"/>
        <v>1511569</v>
      </c>
      <c r="H11" s="114">
        <f>SUM(E11:G11)</f>
        <v>12017851</v>
      </c>
      <c r="I11" s="43">
        <f t="shared" ref="I11:K13" si="3">+I20+I29+I38+I47+I56+I65+I74+I83</f>
        <v>7431742</v>
      </c>
      <c r="J11" s="43">
        <f t="shared" si="3"/>
        <v>2481271</v>
      </c>
      <c r="K11" s="43">
        <f t="shared" si="3"/>
        <v>1254234</v>
      </c>
      <c r="L11" s="78">
        <f>SUM(I11:K11)</f>
        <v>11167247</v>
      </c>
      <c r="M11" s="114">
        <f t="shared" ref="M11:O13" si="4">+E11-I11</f>
        <v>352760</v>
      </c>
      <c r="N11" s="115">
        <f t="shared" si="4"/>
        <v>240509</v>
      </c>
      <c r="O11" s="114">
        <f t="shared" si="4"/>
        <v>257335</v>
      </c>
      <c r="P11" s="116">
        <f>SUM(M11:O11)</f>
        <v>850604</v>
      </c>
      <c r="Q11" s="106"/>
    </row>
    <row r="12" spans="1:17" ht="12.75" customHeight="1">
      <c r="A12" s="113" t="s">
        <v>17</v>
      </c>
      <c r="B12" s="114">
        <f t="shared" si="2"/>
        <v>0</v>
      </c>
      <c r="C12" s="114">
        <f t="shared" si="2"/>
        <v>422569</v>
      </c>
      <c r="D12" s="114">
        <f t="shared" si="2"/>
        <v>422569</v>
      </c>
      <c r="E12" s="114">
        <f t="shared" si="2"/>
        <v>399001</v>
      </c>
      <c r="F12" s="114">
        <f t="shared" si="2"/>
        <v>1500</v>
      </c>
      <c r="G12" s="114">
        <f t="shared" si="2"/>
        <v>40446</v>
      </c>
      <c r="H12" s="114">
        <f>SUM(E12:G12)</f>
        <v>440947</v>
      </c>
      <c r="I12" s="43">
        <f t="shared" si="3"/>
        <v>354634</v>
      </c>
      <c r="J12" s="43">
        <f t="shared" si="3"/>
        <v>0</v>
      </c>
      <c r="K12" s="43">
        <f t="shared" si="3"/>
        <v>567</v>
      </c>
      <c r="L12" s="78">
        <f>SUM(I12:K12)</f>
        <v>355201</v>
      </c>
      <c r="M12" s="114">
        <f t="shared" si="4"/>
        <v>44367</v>
      </c>
      <c r="N12" s="115">
        <f t="shared" si="4"/>
        <v>1500</v>
      </c>
      <c r="O12" s="114">
        <f t="shared" si="4"/>
        <v>39879</v>
      </c>
      <c r="P12" s="116">
        <f>SUM(M12:O12)</f>
        <v>85746</v>
      </c>
      <c r="Q12" s="106"/>
    </row>
    <row r="13" spans="1:17" ht="12.75" customHeight="1">
      <c r="A13" s="113" t="s">
        <v>18</v>
      </c>
      <c r="B13" s="114">
        <f t="shared" si="2"/>
        <v>707291</v>
      </c>
      <c r="C13" s="114">
        <f t="shared" si="2"/>
        <v>0</v>
      </c>
      <c r="D13" s="114">
        <f t="shared" si="2"/>
        <v>707291</v>
      </c>
      <c r="E13" s="114">
        <f t="shared" si="2"/>
        <v>719017</v>
      </c>
      <c r="F13" s="114">
        <f t="shared" si="2"/>
        <v>0</v>
      </c>
      <c r="G13" s="114">
        <f t="shared" si="2"/>
        <v>0</v>
      </c>
      <c r="H13" s="114">
        <f>SUM(E13:G13)</f>
        <v>719017</v>
      </c>
      <c r="I13" s="43">
        <f t="shared" si="3"/>
        <v>673584</v>
      </c>
      <c r="J13" s="43">
        <f t="shared" si="3"/>
        <v>0</v>
      </c>
      <c r="K13" s="43">
        <f t="shared" si="3"/>
        <v>0</v>
      </c>
      <c r="L13" s="78">
        <f>SUM(I13:K13)</f>
        <v>673584</v>
      </c>
      <c r="M13" s="114">
        <f t="shared" si="4"/>
        <v>45433</v>
      </c>
      <c r="N13" s="115">
        <f t="shared" si="4"/>
        <v>0</v>
      </c>
      <c r="O13" s="114">
        <f t="shared" si="4"/>
        <v>0</v>
      </c>
      <c r="P13" s="116">
        <f>SUM(M13:O13)</f>
        <v>45433</v>
      </c>
      <c r="Q13" s="106"/>
    </row>
    <row r="14" spans="1:17" ht="12.75" customHeight="1">
      <c r="A14" s="113" t="s">
        <v>19</v>
      </c>
      <c r="B14" s="102">
        <f>SUM(B15:B16)</f>
        <v>0</v>
      </c>
      <c r="C14" s="102">
        <f>SUM(C15:C16)</f>
        <v>0</v>
      </c>
      <c r="D14" s="102">
        <f>SUM(D15:D16)</f>
        <v>0</v>
      </c>
      <c r="E14" s="102">
        <f t="shared" ref="E14:P14" si="5">SUM(E15:E16)</f>
        <v>0</v>
      </c>
      <c r="F14" s="102">
        <f t="shared" si="5"/>
        <v>0</v>
      </c>
      <c r="G14" s="102">
        <f t="shared" si="5"/>
        <v>0</v>
      </c>
      <c r="H14" s="102">
        <f t="shared" si="5"/>
        <v>0</v>
      </c>
      <c r="I14" s="45">
        <f t="shared" si="5"/>
        <v>0</v>
      </c>
      <c r="J14" s="45">
        <f t="shared" si="5"/>
        <v>0</v>
      </c>
      <c r="K14" s="45">
        <f t="shared" si="5"/>
        <v>0</v>
      </c>
      <c r="L14" s="103">
        <f t="shared" si="5"/>
        <v>0</v>
      </c>
      <c r="M14" s="102">
        <f t="shared" si="5"/>
        <v>0</v>
      </c>
      <c r="N14" s="104">
        <f t="shared" si="5"/>
        <v>0</v>
      </c>
      <c r="O14" s="102">
        <f t="shared" si="5"/>
        <v>0</v>
      </c>
      <c r="P14" s="105">
        <f t="shared" si="5"/>
        <v>0</v>
      </c>
      <c r="Q14" s="106"/>
    </row>
    <row r="15" spans="1:17" ht="12.75" customHeight="1">
      <c r="A15" s="113" t="s">
        <v>20</v>
      </c>
      <c r="B15" s="114">
        <f t="shared" ref="B15:G16" si="6">+B24+B33+B42+B51+B60+B69+B78+B87</f>
        <v>0</v>
      </c>
      <c r="C15" s="114">
        <f t="shared" si="6"/>
        <v>0</v>
      </c>
      <c r="D15" s="114">
        <f t="shared" si="6"/>
        <v>0</v>
      </c>
      <c r="E15" s="114">
        <f t="shared" si="6"/>
        <v>0</v>
      </c>
      <c r="F15" s="114">
        <f t="shared" si="6"/>
        <v>0</v>
      </c>
      <c r="G15" s="114">
        <f t="shared" si="6"/>
        <v>0</v>
      </c>
      <c r="H15" s="114">
        <f>SUM(E15:G15)</f>
        <v>0</v>
      </c>
      <c r="I15" s="43">
        <f>+I24+I33+I42+I51+I60+I69+I78+I87</f>
        <v>0</v>
      </c>
      <c r="J15" s="43">
        <f>+J24+J33+J42+J51+J60+J69+J78+J87</f>
        <v>0</v>
      </c>
      <c r="K15" s="43">
        <f>+K24+K33+K42+K51+K60+K69+K78+K87</f>
        <v>0</v>
      </c>
      <c r="L15" s="78">
        <f>SUM(I15:K15)</f>
        <v>0</v>
      </c>
      <c r="M15" s="114">
        <f t="shared" ref="M15:O16" si="7">+E15-I15</f>
        <v>0</v>
      </c>
      <c r="N15" s="115">
        <f t="shared" si="7"/>
        <v>0</v>
      </c>
      <c r="O15" s="114">
        <f t="shared" si="7"/>
        <v>0</v>
      </c>
      <c r="P15" s="116">
        <f>SUM(M15:O15)</f>
        <v>0</v>
      </c>
      <c r="Q15" s="106"/>
    </row>
    <row r="16" spans="1:17" ht="12.75" customHeight="1">
      <c r="A16" s="113" t="s">
        <v>21</v>
      </c>
      <c r="B16" s="114">
        <f t="shared" si="6"/>
        <v>0</v>
      </c>
      <c r="C16" s="114">
        <f t="shared" si="6"/>
        <v>0</v>
      </c>
      <c r="D16" s="114">
        <f t="shared" si="6"/>
        <v>0</v>
      </c>
      <c r="E16" s="114">
        <f t="shared" si="6"/>
        <v>0</v>
      </c>
      <c r="F16" s="114">
        <f t="shared" si="6"/>
        <v>0</v>
      </c>
      <c r="G16" s="114">
        <f t="shared" si="6"/>
        <v>0</v>
      </c>
      <c r="H16" s="114">
        <f>SUM(E16:G16)</f>
        <v>0</v>
      </c>
      <c r="I16" s="43">
        <f>+I25+I34+I43+I52+I61+I70+I79+I87</f>
        <v>0</v>
      </c>
      <c r="J16" s="43">
        <f>+J25+J34+J43+J52+J61+J70+J79+J87</f>
        <v>0</v>
      </c>
      <c r="K16" s="43">
        <f>+K25+K34+K43+K52+K61+K70+K79+K88</f>
        <v>0</v>
      </c>
      <c r="L16" s="78">
        <f>SUM(I16:K16)</f>
        <v>0</v>
      </c>
      <c r="M16" s="114">
        <f t="shared" si="7"/>
        <v>0</v>
      </c>
      <c r="N16" s="115">
        <f t="shared" si="7"/>
        <v>0</v>
      </c>
      <c r="O16" s="114">
        <f t="shared" si="7"/>
        <v>0</v>
      </c>
      <c r="P16" s="116">
        <f>SUM(M16:O16)</f>
        <v>0</v>
      </c>
      <c r="Q16" s="106"/>
    </row>
    <row r="17" spans="1:17" ht="12.75" customHeight="1">
      <c r="A17" s="101"/>
      <c r="B17" s="117"/>
      <c r="C17" s="117"/>
      <c r="D17" s="117"/>
      <c r="E17" s="114"/>
      <c r="F17" s="114"/>
      <c r="G17" s="114"/>
      <c r="H17" s="114"/>
      <c r="I17" s="118"/>
      <c r="J17" s="118"/>
      <c r="K17" s="118"/>
      <c r="L17" s="119"/>
      <c r="M17" s="114"/>
      <c r="N17" s="115"/>
      <c r="O17" s="114"/>
      <c r="P17" s="116"/>
      <c r="Q17" s="106"/>
    </row>
    <row r="18" spans="1:17">
      <c r="A18" s="120" t="s">
        <v>378</v>
      </c>
      <c r="B18" s="102">
        <f>+B19+B23</f>
        <v>184184</v>
      </c>
      <c r="C18" s="102">
        <f>+C19+C23</f>
        <v>4043</v>
      </c>
      <c r="D18" s="102">
        <f>+D19+D23</f>
        <v>188227</v>
      </c>
      <c r="E18" s="102">
        <f t="shared" ref="E18:P18" si="8">+E19+E23</f>
        <v>140276</v>
      </c>
      <c r="F18" s="102">
        <f t="shared" si="8"/>
        <v>47995</v>
      </c>
      <c r="G18" s="102">
        <f t="shared" si="8"/>
        <v>13249</v>
      </c>
      <c r="H18" s="102">
        <f t="shared" si="8"/>
        <v>201520</v>
      </c>
      <c r="I18" s="74">
        <f t="shared" si="8"/>
        <v>102063</v>
      </c>
      <c r="J18" s="74">
        <f t="shared" si="8"/>
        <v>27628</v>
      </c>
      <c r="K18" s="74">
        <f t="shared" si="8"/>
        <v>0</v>
      </c>
      <c r="L18" s="138">
        <f t="shared" si="8"/>
        <v>129691</v>
      </c>
      <c r="M18" s="102">
        <f t="shared" si="8"/>
        <v>38213</v>
      </c>
      <c r="N18" s="104">
        <f t="shared" si="8"/>
        <v>20367</v>
      </c>
      <c r="O18" s="102">
        <f t="shared" si="8"/>
        <v>13249</v>
      </c>
      <c r="P18" s="105">
        <f t="shared" si="8"/>
        <v>71829</v>
      </c>
      <c r="Q18" s="106">
        <f>+L18/H18</f>
        <v>0.64356391425168713</v>
      </c>
    </row>
    <row r="19" spans="1:17">
      <c r="A19" s="107" t="s">
        <v>15</v>
      </c>
      <c r="B19" s="108">
        <f>SUM(B20:B22)</f>
        <v>184184</v>
      </c>
      <c r="C19" s="108">
        <f>SUM(C20:C22)</f>
        <v>4043</v>
      </c>
      <c r="D19" s="108">
        <f>SUM(D20:D22)</f>
        <v>188227</v>
      </c>
      <c r="E19" s="108">
        <f t="shared" ref="E19:P19" si="9">SUM(E20:E22)</f>
        <v>140276</v>
      </c>
      <c r="F19" s="108">
        <f t="shared" si="9"/>
        <v>47995</v>
      </c>
      <c r="G19" s="108">
        <f t="shared" si="9"/>
        <v>13249</v>
      </c>
      <c r="H19" s="108">
        <f t="shared" si="9"/>
        <v>201520</v>
      </c>
      <c r="I19" s="154">
        <f t="shared" si="9"/>
        <v>102063</v>
      </c>
      <c r="J19" s="154">
        <f t="shared" si="9"/>
        <v>27628</v>
      </c>
      <c r="K19" s="154">
        <f t="shared" si="9"/>
        <v>0</v>
      </c>
      <c r="L19" s="155">
        <f t="shared" si="9"/>
        <v>129691</v>
      </c>
      <c r="M19" s="108">
        <f t="shared" si="9"/>
        <v>38213</v>
      </c>
      <c r="N19" s="111">
        <f t="shared" si="9"/>
        <v>20367</v>
      </c>
      <c r="O19" s="108">
        <f t="shared" si="9"/>
        <v>13249</v>
      </c>
      <c r="P19" s="112">
        <f t="shared" si="9"/>
        <v>71829</v>
      </c>
      <c r="Q19" s="106"/>
    </row>
    <row r="20" spans="1:17">
      <c r="A20" s="113" t="s">
        <v>16</v>
      </c>
      <c r="B20" s="114">
        <v>172935</v>
      </c>
      <c r="C20" s="114"/>
      <c r="D20" s="114">
        <f>+B20+C20</f>
        <v>172935</v>
      </c>
      <c r="E20" s="114">
        <v>124940</v>
      </c>
      <c r="F20" s="114">
        <v>47995</v>
      </c>
      <c r="G20" s="114">
        <v>13249</v>
      </c>
      <c r="H20" s="114">
        <f>SUM(E20:G20)</f>
        <v>186184</v>
      </c>
      <c r="I20" s="63">
        <f>91759+640</f>
        <v>92399</v>
      </c>
      <c r="J20" s="63">
        <v>27628</v>
      </c>
      <c r="K20" s="63"/>
      <c r="L20" s="79">
        <f>SUM(I20:K20)</f>
        <v>120027</v>
      </c>
      <c r="M20" s="114">
        <f t="shared" ref="M20:O22" si="10">+E20-I20</f>
        <v>32541</v>
      </c>
      <c r="N20" s="115">
        <f t="shared" si="10"/>
        <v>20367</v>
      </c>
      <c r="O20" s="114">
        <f t="shared" si="10"/>
        <v>13249</v>
      </c>
      <c r="P20" s="116">
        <f>SUM(M20:O20)</f>
        <v>66157</v>
      </c>
      <c r="Q20" s="106"/>
    </row>
    <row r="21" spans="1:17">
      <c r="A21" s="113" t="s">
        <v>17</v>
      </c>
      <c r="B21" s="114"/>
      <c r="C21" s="114">
        <f>+H21</f>
        <v>4043</v>
      </c>
      <c r="D21" s="114">
        <f>+B21+C21</f>
        <v>4043</v>
      </c>
      <c r="E21" s="114">
        <v>4043</v>
      </c>
      <c r="F21" s="114"/>
      <c r="G21" s="114"/>
      <c r="H21" s="114">
        <f>SUM(E21:G21)</f>
        <v>4043</v>
      </c>
      <c r="I21" s="63">
        <f>1549-640</f>
        <v>909</v>
      </c>
      <c r="J21" s="63"/>
      <c r="K21" s="63"/>
      <c r="L21" s="79">
        <f>SUM(I21:K21)</f>
        <v>909</v>
      </c>
      <c r="M21" s="114">
        <f t="shared" si="10"/>
        <v>3134</v>
      </c>
      <c r="N21" s="115">
        <f t="shared" si="10"/>
        <v>0</v>
      </c>
      <c r="O21" s="114">
        <f t="shared" si="10"/>
        <v>0</v>
      </c>
      <c r="P21" s="116">
        <f>SUM(M21:O21)</f>
        <v>3134</v>
      </c>
      <c r="Q21" s="106"/>
    </row>
    <row r="22" spans="1:17">
      <c r="A22" s="113" t="s">
        <v>18</v>
      </c>
      <c r="B22" s="114">
        <v>11249</v>
      </c>
      <c r="C22" s="114"/>
      <c r="D22" s="114">
        <f>+B22+C22</f>
        <v>11249</v>
      </c>
      <c r="E22" s="114">
        <v>11293</v>
      </c>
      <c r="F22" s="114"/>
      <c r="G22" s="114"/>
      <c r="H22" s="114">
        <f>SUM(E22:G22)</f>
        <v>11293</v>
      </c>
      <c r="I22" s="63">
        <v>8755</v>
      </c>
      <c r="J22" s="63"/>
      <c r="K22" s="63"/>
      <c r="L22" s="79">
        <f>SUM(I22:K22)</f>
        <v>8755</v>
      </c>
      <c r="M22" s="114">
        <f t="shared" si="10"/>
        <v>2538</v>
      </c>
      <c r="N22" s="115">
        <f t="shared" si="10"/>
        <v>0</v>
      </c>
      <c r="O22" s="114">
        <f t="shared" si="10"/>
        <v>0</v>
      </c>
      <c r="P22" s="116">
        <f>SUM(M22:O22)</f>
        <v>2538</v>
      </c>
      <c r="Q22" s="106"/>
    </row>
    <row r="23" spans="1:17">
      <c r="A23" s="113" t="s">
        <v>19</v>
      </c>
      <c r="B23" s="102">
        <f>SUM(B24:B25)</f>
        <v>0</v>
      </c>
      <c r="C23" s="102">
        <f>SUM(C24:C25)</f>
        <v>0</v>
      </c>
      <c r="D23" s="102">
        <f>SUM(D24:D25)</f>
        <v>0</v>
      </c>
      <c r="E23" s="102">
        <f t="shared" ref="E23:P23" si="11">SUM(E24:E25)</f>
        <v>0</v>
      </c>
      <c r="F23" s="102">
        <f t="shared" si="11"/>
        <v>0</v>
      </c>
      <c r="G23" s="102">
        <f t="shared" si="11"/>
        <v>0</v>
      </c>
      <c r="H23" s="102">
        <f t="shared" si="11"/>
        <v>0</v>
      </c>
      <c r="I23" s="74">
        <f t="shared" si="11"/>
        <v>0</v>
      </c>
      <c r="J23" s="74">
        <f t="shared" si="11"/>
        <v>0</v>
      </c>
      <c r="K23" s="74">
        <f t="shared" si="11"/>
        <v>0</v>
      </c>
      <c r="L23" s="138">
        <f t="shared" si="11"/>
        <v>0</v>
      </c>
      <c r="M23" s="102">
        <f t="shared" si="11"/>
        <v>0</v>
      </c>
      <c r="N23" s="104">
        <f t="shared" si="11"/>
        <v>0</v>
      </c>
      <c r="O23" s="102">
        <f t="shared" si="11"/>
        <v>0</v>
      </c>
      <c r="P23" s="105">
        <f t="shared" si="11"/>
        <v>0</v>
      </c>
      <c r="Q23" s="106"/>
    </row>
    <row r="24" spans="1:17" ht="12.75" customHeight="1">
      <c r="A24" s="113" t="s">
        <v>20</v>
      </c>
      <c r="B24" s="114"/>
      <c r="C24" s="114"/>
      <c r="D24" s="114">
        <f>+B24+C24</f>
        <v>0</v>
      </c>
      <c r="E24" s="114"/>
      <c r="F24" s="114"/>
      <c r="G24" s="114"/>
      <c r="H24" s="114">
        <f>SUM(E24:G24)</f>
        <v>0</v>
      </c>
      <c r="I24" s="63"/>
      <c r="J24" s="63"/>
      <c r="K24" s="63"/>
      <c r="L24" s="79">
        <f>SUM(I24:K24)</f>
        <v>0</v>
      </c>
      <c r="M24" s="114">
        <f t="shared" ref="M24:O25" si="12">+E24-I24</f>
        <v>0</v>
      </c>
      <c r="N24" s="115">
        <f t="shared" si="12"/>
        <v>0</v>
      </c>
      <c r="O24" s="114">
        <f t="shared" si="12"/>
        <v>0</v>
      </c>
      <c r="P24" s="116">
        <f>SUM(M24:O24)</f>
        <v>0</v>
      </c>
      <c r="Q24" s="106"/>
    </row>
    <row r="25" spans="1:17" ht="12.75" customHeight="1">
      <c r="A25" s="113" t="s">
        <v>21</v>
      </c>
      <c r="B25" s="114"/>
      <c r="C25" s="114"/>
      <c r="D25" s="114">
        <f>+B25+C25</f>
        <v>0</v>
      </c>
      <c r="E25" s="114"/>
      <c r="F25" s="114"/>
      <c r="G25" s="114"/>
      <c r="H25" s="114">
        <f>SUM(E25:G25)</f>
        <v>0</v>
      </c>
      <c r="I25" s="63"/>
      <c r="J25" s="63"/>
      <c r="K25" s="63"/>
      <c r="L25" s="79">
        <f>SUM(I25:K25)</f>
        <v>0</v>
      </c>
      <c r="M25" s="114">
        <f t="shared" si="12"/>
        <v>0</v>
      </c>
      <c r="N25" s="115">
        <f t="shared" si="12"/>
        <v>0</v>
      </c>
      <c r="O25" s="114">
        <f t="shared" si="12"/>
        <v>0</v>
      </c>
      <c r="P25" s="116">
        <f>SUM(M25:O25)</f>
        <v>0</v>
      </c>
      <c r="Q25" s="106"/>
    </row>
    <row r="26" spans="1:17">
      <c r="A26" s="121"/>
      <c r="B26" s="122"/>
      <c r="C26" s="122"/>
      <c r="D26" s="122"/>
      <c r="E26" s="114"/>
      <c r="F26" s="114"/>
      <c r="G26" s="114"/>
      <c r="H26" s="114"/>
      <c r="I26" s="123"/>
      <c r="J26" s="123"/>
      <c r="K26" s="123"/>
      <c r="L26" s="124"/>
      <c r="M26" s="114"/>
      <c r="N26" s="115"/>
      <c r="O26" s="114"/>
      <c r="P26" s="116"/>
      <c r="Q26" s="106"/>
    </row>
    <row r="27" spans="1:17">
      <c r="A27" s="120" t="s">
        <v>223</v>
      </c>
      <c r="B27" s="102">
        <f>+B28+B32</f>
        <v>79599</v>
      </c>
      <c r="C27" s="102">
        <f>+C28+C32</f>
        <v>0</v>
      </c>
      <c r="D27" s="102">
        <f>+D28+D32</f>
        <v>79599</v>
      </c>
      <c r="E27" s="102">
        <f t="shared" ref="E27:P27" si="13">+E28+E32</f>
        <v>72303</v>
      </c>
      <c r="F27" s="102">
        <f t="shared" si="13"/>
        <v>13822</v>
      </c>
      <c r="G27" s="102">
        <f t="shared" si="13"/>
        <v>5214</v>
      </c>
      <c r="H27" s="102">
        <f t="shared" si="13"/>
        <v>91339</v>
      </c>
      <c r="I27" s="125">
        <f t="shared" si="13"/>
        <v>72303</v>
      </c>
      <c r="J27" s="125">
        <f t="shared" si="13"/>
        <v>13822</v>
      </c>
      <c r="K27" s="125">
        <f t="shared" si="13"/>
        <v>223</v>
      </c>
      <c r="L27" s="126">
        <f t="shared" si="13"/>
        <v>86348</v>
      </c>
      <c r="M27" s="102">
        <f t="shared" si="13"/>
        <v>0</v>
      </c>
      <c r="N27" s="104">
        <f t="shared" si="13"/>
        <v>0</v>
      </c>
      <c r="O27" s="102">
        <f t="shared" si="13"/>
        <v>4991</v>
      </c>
      <c r="P27" s="105">
        <f t="shared" si="13"/>
        <v>4991</v>
      </c>
      <c r="Q27" s="106">
        <f>+L27/H27</f>
        <v>0.94535740483254693</v>
      </c>
    </row>
    <row r="28" spans="1:17">
      <c r="A28" s="127" t="s">
        <v>15</v>
      </c>
      <c r="B28" s="108">
        <f>SUM(B29:B31)</f>
        <v>79599</v>
      </c>
      <c r="C28" s="108">
        <f>SUM(C29:C31)</f>
        <v>0</v>
      </c>
      <c r="D28" s="108">
        <f>SUM(D29:D31)</f>
        <v>79599</v>
      </c>
      <c r="E28" s="108">
        <f t="shared" ref="E28:P28" si="14">SUM(E29:E31)</f>
        <v>72303</v>
      </c>
      <c r="F28" s="108">
        <f t="shared" si="14"/>
        <v>13822</v>
      </c>
      <c r="G28" s="108">
        <f t="shared" si="14"/>
        <v>5214</v>
      </c>
      <c r="H28" s="108">
        <f t="shared" si="14"/>
        <v>91339</v>
      </c>
      <c r="I28" s="128">
        <f t="shared" si="14"/>
        <v>72303</v>
      </c>
      <c r="J28" s="128">
        <f t="shared" si="14"/>
        <v>13822</v>
      </c>
      <c r="K28" s="128">
        <f t="shared" si="14"/>
        <v>223</v>
      </c>
      <c r="L28" s="129">
        <f t="shared" si="14"/>
        <v>86348</v>
      </c>
      <c r="M28" s="108">
        <f t="shared" si="14"/>
        <v>0</v>
      </c>
      <c r="N28" s="111">
        <f t="shared" si="14"/>
        <v>0</v>
      </c>
      <c r="O28" s="108">
        <f t="shared" si="14"/>
        <v>4991</v>
      </c>
      <c r="P28" s="112">
        <f t="shared" si="14"/>
        <v>4991</v>
      </c>
      <c r="Q28" s="106"/>
    </row>
    <row r="29" spans="1:17">
      <c r="A29" s="113" t="s">
        <v>16</v>
      </c>
      <c r="B29" s="114">
        <v>74044</v>
      </c>
      <c r="C29" s="114"/>
      <c r="D29" s="114">
        <f>+B29+C29</f>
        <v>74044</v>
      </c>
      <c r="E29" s="114">
        <v>59999</v>
      </c>
      <c r="F29" s="114">
        <v>13822</v>
      </c>
      <c r="G29" s="114">
        <v>5214</v>
      </c>
      <c r="H29" s="114">
        <f>SUM(E29:G29)</f>
        <v>79035</v>
      </c>
      <c r="I29" s="130">
        <f>69248-5810-3439</f>
        <v>59999</v>
      </c>
      <c r="J29" s="130">
        <f>14163-341</f>
        <v>13822</v>
      </c>
      <c r="K29" s="130">
        <v>223</v>
      </c>
      <c r="L29" s="131">
        <f>SUM(I29:K29)</f>
        <v>74044</v>
      </c>
      <c r="M29" s="114">
        <f t="shared" ref="M29:O31" si="15">+E29-I29</f>
        <v>0</v>
      </c>
      <c r="N29" s="115">
        <f t="shared" si="15"/>
        <v>0</v>
      </c>
      <c r="O29" s="114">
        <f t="shared" si="15"/>
        <v>4991</v>
      </c>
      <c r="P29" s="116">
        <f>SUM(M29:O29)</f>
        <v>4991</v>
      </c>
      <c r="Q29" s="106"/>
    </row>
    <row r="30" spans="1:17">
      <c r="A30" s="113" t="s">
        <v>17</v>
      </c>
      <c r="B30" s="114"/>
      <c r="C30" s="114"/>
      <c r="D30" s="114">
        <f>+B30+C30</f>
        <v>0</v>
      </c>
      <c r="E30" s="114">
        <v>6614</v>
      </c>
      <c r="F30" s="114"/>
      <c r="G30" s="114"/>
      <c r="H30" s="114">
        <f>SUM(E30:G30)</f>
        <v>6614</v>
      </c>
      <c r="I30" s="130">
        <f>2714+3439+341+120</f>
        <v>6614</v>
      </c>
      <c r="J30" s="130"/>
      <c r="K30" s="130"/>
      <c r="L30" s="131">
        <f>SUM(I30:K30)</f>
        <v>6614</v>
      </c>
      <c r="M30" s="114">
        <f t="shared" si="15"/>
        <v>0</v>
      </c>
      <c r="N30" s="115">
        <f t="shared" si="15"/>
        <v>0</v>
      </c>
      <c r="O30" s="114">
        <f t="shared" si="15"/>
        <v>0</v>
      </c>
      <c r="P30" s="116">
        <f>SUM(M30:O30)</f>
        <v>0</v>
      </c>
      <c r="Q30" s="106"/>
    </row>
    <row r="31" spans="1:17">
      <c r="A31" s="113" t="s">
        <v>18</v>
      </c>
      <c r="B31" s="114">
        <v>5555</v>
      </c>
      <c r="C31" s="114"/>
      <c r="D31" s="114">
        <f>+B31+C31</f>
        <v>5555</v>
      </c>
      <c r="E31" s="114">
        <v>5690</v>
      </c>
      <c r="F31" s="114"/>
      <c r="G31" s="114"/>
      <c r="H31" s="114">
        <f>SUM(E31:G31)</f>
        <v>5690</v>
      </c>
      <c r="I31" s="130">
        <f>5810-120</f>
        <v>5690</v>
      </c>
      <c r="J31" s="130"/>
      <c r="K31" s="130"/>
      <c r="L31" s="131">
        <f>SUM(I31:K31)</f>
        <v>5690</v>
      </c>
      <c r="M31" s="114">
        <f t="shared" si="15"/>
        <v>0</v>
      </c>
      <c r="N31" s="115">
        <f t="shared" si="15"/>
        <v>0</v>
      </c>
      <c r="O31" s="114">
        <f t="shared" si="15"/>
        <v>0</v>
      </c>
      <c r="P31" s="116">
        <f>SUM(M31:O31)</f>
        <v>0</v>
      </c>
      <c r="Q31" s="106"/>
    </row>
    <row r="32" spans="1:17">
      <c r="A32" s="113" t="s">
        <v>19</v>
      </c>
      <c r="B32" s="102">
        <f>SUM(B33:B34)</f>
        <v>0</v>
      </c>
      <c r="C32" s="102">
        <f>SUM(C33:C34)</f>
        <v>0</v>
      </c>
      <c r="D32" s="102">
        <f>SUM(D33:D34)</f>
        <v>0</v>
      </c>
      <c r="E32" s="102">
        <f t="shared" ref="E32:P32" si="16">SUM(E33:E34)</f>
        <v>0</v>
      </c>
      <c r="F32" s="102">
        <f t="shared" si="16"/>
        <v>0</v>
      </c>
      <c r="G32" s="102">
        <f t="shared" si="16"/>
        <v>0</v>
      </c>
      <c r="H32" s="102">
        <f t="shared" si="16"/>
        <v>0</v>
      </c>
      <c r="I32" s="125">
        <f t="shared" si="16"/>
        <v>0</v>
      </c>
      <c r="J32" s="125">
        <f t="shared" si="16"/>
        <v>0</v>
      </c>
      <c r="K32" s="125">
        <f t="shared" si="16"/>
        <v>0</v>
      </c>
      <c r="L32" s="126">
        <f t="shared" si="16"/>
        <v>0</v>
      </c>
      <c r="M32" s="102">
        <f t="shared" si="16"/>
        <v>0</v>
      </c>
      <c r="N32" s="104">
        <f t="shared" si="16"/>
        <v>0</v>
      </c>
      <c r="O32" s="102">
        <f t="shared" si="16"/>
        <v>0</v>
      </c>
      <c r="P32" s="105">
        <f t="shared" si="16"/>
        <v>0</v>
      </c>
      <c r="Q32" s="106"/>
    </row>
    <row r="33" spans="1:18" ht="12.75" customHeight="1">
      <c r="A33" s="113" t="s">
        <v>20</v>
      </c>
      <c r="B33" s="114"/>
      <c r="C33" s="114"/>
      <c r="D33" s="114">
        <f>+B33+C33</f>
        <v>0</v>
      </c>
      <c r="E33" s="114"/>
      <c r="F33" s="114"/>
      <c r="G33" s="114"/>
      <c r="H33" s="114">
        <f>SUM(E33:G33)</f>
        <v>0</v>
      </c>
      <c r="I33" s="130"/>
      <c r="J33" s="130"/>
      <c r="K33" s="130"/>
      <c r="L33" s="131">
        <f>SUM(I33:K33)</f>
        <v>0</v>
      </c>
      <c r="M33" s="114">
        <f t="shared" ref="M33:O34" si="17">+E33-I33</f>
        <v>0</v>
      </c>
      <c r="N33" s="115">
        <f t="shared" si="17"/>
        <v>0</v>
      </c>
      <c r="O33" s="114">
        <f t="shared" si="17"/>
        <v>0</v>
      </c>
      <c r="P33" s="116">
        <f>SUM(M33:O33)</f>
        <v>0</v>
      </c>
      <c r="Q33" s="106"/>
    </row>
    <row r="34" spans="1:18" ht="12.75" customHeight="1">
      <c r="A34" s="113" t="s">
        <v>21</v>
      </c>
      <c r="B34" s="114"/>
      <c r="C34" s="114">
        <f>+H34</f>
        <v>0</v>
      </c>
      <c r="D34" s="114">
        <f>+B34+C34</f>
        <v>0</v>
      </c>
      <c r="E34" s="114"/>
      <c r="F34" s="114"/>
      <c r="G34" s="114"/>
      <c r="H34" s="114">
        <f>SUM(E34:G34)</f>
        <v>0</v>
      </c>
      <c r="I34" s="130"/>
      <c r="J34" s="130"/>
      <c r="K34" s="130"/>
      <c r="L34" s="131">
        <f>SUM(I34:K34)</f>
        <v>0</v>
      </c>
      <c r="M34" s="114">
        <f t="shared" si="17"/>
        <v>0</v>
      </c>
      <c r="N34" s="115">
        <f t="shared" si="17"/>
        <v>0</v>
      </c>
      <c r="O34" s="114">
        <f t="shared" si="17"/>
        <v>0</v>
      </c>
      <c r="P34" s="116">
        <f>SUM(M34:O34)</f>
        <v>0</v>
      </c>
      <c r="Q34" s="106"/>
    </row>
    <row r="35" spans="1:18">
      <c r="A35" s="121"/>
      <c r="B35" s="122"/>
      <c r="C35" s="122"/>
      <c r="D35" s="122"/>
      <c r="E35" s="114"/>
      <c r="F35" s="114"/>
      <c r="G35" s="114"/>
      <c r="H35" s="114"/>
      <c r="I35" s="118"/>
      <c r="J35" s="118"/>
      <c r="K35" s="118"/>
      <c r="L35" s="119"/>
      <c r="M35" s="114"/>
      <c r="N35" s="115"/>
      <c r="O35" s="114"/>
      <c r="P35" s="116"/>
      <c r="Q35" s="106"/>
    </row>
    <row r="36" spans="1:18">
      <c r="A36" s="132" t="s">
        <v>224</v>
      </c>
      <c r="B36" s="102">
        <f>+B37+B41</f>
        <v>450014</v>
      </c>
      <c r="C36" s="102">
        <f>+C37+C41</f>
        <v>0</v>
      </c>
      <c r="D36" s="102">
        <f>+D37+D41</f>
        <v>450014</v>
      </c>
      <c r="E36" s="102">
        <f t="shared" ref="E36:P36" si="18">+E37+E41</f>
        <v>306184</v>
      </c>
      <c r="F36" s="102">
        <f t="shared" si="18"/>
        <v>150826</v>
      </c>
      <c r="G36" s="102">
        <f t="shared" si="18"/>
        <v>92147</v>
      </c>
      <c r="H36" s="102">
        <f t="shared" si="18"/>
        <v>549157</v>
      </c>
      <c r="I36" s="45">
        <f t="shared" si="18"/>
        <v>20676</v>
      </c>
      <c r="J36" s="45">
        <f t="shared" si="18"/>
        <v>24600</v>
      </c>
      <c r="K36" s="45">
        <f t="shared" si="18"/>
        <v>15333</v>
      </c>
      <c r="L36" s="103">
        <f t="shared" si="18"/>
        <v>60609</v>
      </c>
      <c r="M36" s="102">
        <f t="shared" si="18"/>
        <v>285508</v>
      </c>
      <c r="N36" s="104">
        <f t="shared" si="18"/>
        <v>126226</v>
      </c>
      <c r="O36" s="102">
        <f t="shared" si="18"/>
        <v>76814</v>
      </c>
      <c r="P36" s="105">
        <f t="shared" si="18"/>
        <v>488548</v>
      </c>
      <c r="Q36" s="106">
        <f>+L36/H36</f>
        <v>0.11036734485766365</v>
      </c>
    </row>
    <row r="37" spans="1:18">
      <c r="A37" s="127" t="s">
        <v>15</v>
      </c>
      <c r="B37" s="108">
        <f>SUM(B38:B40)</f>
        <v>450014</v>
      </c>
      <c r="C37" s="108">
        <f>SUM(C38:C40)</f>
        <v>0</v>
      </c>
      <c r="D37" s="108">
        <f>SUM(D38:D40)</f>
        <v>450014</v>
      </c>
      <c r="E37" s="108">
        <f t="shared" ref="E37:P37" si="19">SUM(E38:E40)</f>
        <v>306184</v>
      </c>
      <c r="F37" s="108">
        <f t="shared" si="19"/>
        <v>150826</v>
      </c>
      <c r="G37" s="108">
        <f t="shared" si="19"/>
        <v>92147</v>
      </c>
      <c r="H37" s="108">
        <f t="shared" si="19"/>
        <v>549157</v>
      </c>
      <c r="I37" s="109">
        <f t="shared" si="19"/>
        <v>20676</v>
      </c>
      <c r="J37" s="109">
        <f t="shared" si="19"/>
        <v>24600</v>
      </c>
      <c r="K37" s="109">
        <f t="shared" si="19"/>
        <v>15333</v>
      </c>
      <c r="L37" s="110">
        <f t="shared" si="19"/>
        <v>60609</v>
      </c>
      <c r="M37" s="108">
        <f t="shared" si="19"/>
        <v>285508</v>
      </c>
      <c r="N37" s="111">
        <f t="shared" si="19"/>
        <v>126226</v>
      </c>
      <c r="O37" s="108">
        <f t="shared" si="19"/>
        <v>76814</v>
      </c>
      <c r="P37" s="112">
        <f t="shared" si="19"/>
        <v>488548</v>
      </c>
      <c r="Q37" s="106"/>
    </row>
    <row r="38" spans="1:18">
      <c r="A38" s="113" t="s">
        <v>16</v>
      </c>
      <c r="B38" s="114">
        <v>428351</v>
      </c>
      <c r="C38" s="114"/>
      <c r="D38" s="114">
        <f>+B38+C38</f>
        <v>428351</v>
      </c>
      <c r="E38" s="114">
        <v>274025</v>
      </c>
      <c r="F38" s="114">
        <v>149326</v>
      </c>
      <c r="G38" s="114">
        <v>92147</v>
      </c>
      <c r="H38" s="114">
        <f>SUM(E38:G38)</f>
        <v>515498</v>
      </c>
      <c r="I38" s="43">
        <v>20676</v>
      </c>
      <c r="J38" s="43">
        <v>24600</v>
      </c>
      <c r="K38" s="43">
        <v>15333</v>
      </c>
      <c r="L38" s="78">
        <f>SUM(I38:K38)</f>
        <v>60609</v>
      </c>
      <c r="M38" s="114">
        <f t="shared" ref="M38:O40" si="20">+E38-I38</f>
        <v>253349</v>
      </c>
      <c r="N38" s="115">
        <f t="shared" si="20"/>
        <v>124726</v>
      </c>
      <c r="O38" s="114">
        <f t="shared" si="20"/>
        <v>76814</v>
      </c>
      <c r="P38" s="116">
        <f>SUM(M38:O38)</f>
        <v>454889</v>
      </c>
      <c r="Q38" s="106"/>
    </row>
    <row r="39" spans="1:18">
      <c r="A39" s="113" t="s">
        <v>17</v>
      </c>
      <c r="B39" s="114"/>
      <c r="C39" s="114"/>
      <c r="D39" s="114">
        <f>+B39+C39</f>
        <v>0</v>
      </c>
      <c r="E39" s="114">
        <v>10264</v>
      </c>
      <c r="F39" s="114">
        <v>1500</v>
      </c>
      <c r="G39" s="114"/>
      <c r="H39" s="114">
        <f>SUM(E39:G39)</f>
        <v>11764</v>
      </c>
      <c r="I39" s="43"/>
      <c r="J39" s="43"/>
      <c r="K39" s="43"/>
      <c r="L39" s="78">
        <f>SUM(I39:K39)</f>
        <v>0</v>
      </c>
      <c r="M39" s="114">
        <f t="shared" si="20"/>
        <v>10264</v>
      </c>
      <c r="N39" s="115">
        <f t="shared" si="20"/>
        <v>1500</v>
      </c>
      <c r="O39" s="114">
        <f t="shared" si="20"/>
        <v>0</v>
      </c>
      <c r="P39" s="116">
        <f>SUM(M39:O39)</f>
        <v>11764</v>
      </c>
      <c r="Q39" s="106"/>
    </row>
    <row r="40" spans="1:18">
      <c r="A40" s="113" t="s">
        <v>18</v>
      </c>
      <c r="B40" s="114">
        <v>21663</v>
      </c>
      <c r="C40" s="114"/>
      <c r="D40" s="114">
        <f>+B40+C40</f>
        <v>21663</v>
      </c>
      <c r="E40" s="114">
        <v>21895</v>
      </c>
      <c r="F40" s="114"/>
      <c r="G40" s="114"/>
      <c r="H40" s="114">
        <f>SUM(E40:G40)</f>
        <v>21895</v>
      </c>
      <c r="I40" s="43"/>
      <c r="J40" s="43"/>
      <c r="K40" s="43"/>
      <c r="L40" s="78">
        <f>SUM(I40:K40)</f>
        <v>0</v>
      </c>
      <c r="M40" s="114">
        <f t="shared" si="20"/>
        <v>21895</v>
      </c>
      <c r="N40" s="115">
        <f t="shared" si="20"/>
        <v>0</v>
      </c>
      <c r="O40" s="114">
        <f t="shared" si="20"/>
        <v>0</v>
      </c>
      <c r="P40" s="116">
        <f>SUM(M40:O40)</f>
        <v>21895</v>
      </c>
      <c r="Q40" s="106"/>
    </row>
    <row r="41" spans="1:18">
      <c r="A41" s="113" t="s">
        <v>19</v>
      </c>
      <c r="B41" s="102">
        <f>SUM(B42:B43)</f>
        <v>0</v>
      </c>
      <c r="C41" s="102">
        <f>SUM(C42:C43)</f>
        <v>0</v>
      </c>
      <c r="D41" s="102">
        <f>SUM(D42:D43)</f>
        <v>0</v>
      </c>
      <c r="E41" s="102">
        <f t="shared" ref="E41:P41" si="21">SUM(E42:E43)</f>
        <v>0</v>
      </c>
      <c r="F41" s="102">
        <f t="shared" si="21"/>
        <v>0</v>
      </c>
      <c r="G41" s="102">
        <f t="shared" si="21"/>
        <v>0</v>
      </c>
      <c r="H41" s="102">
        <f t="shared" si="21"/>
        <v>0</v>
      </c>
      <c r="I41" s="45">
        <f t="shared" si="21"/>
        <v>0</v>
      </c>
      <c r="J41" s="45">
        <f t="shared" si="21"/>
        <v>0</v>
      </c>
      <c r="K41" s="45">
        <f t="shared" si="21"/>
        <v>0</v>
      </c>
      <c r="L41" s="103">
        <f t="shared" si="21"/>
        <v>0</v>
      </c>
      <c r="M41" s="102">
        <f t="shared" si="21"/>
        <v>0</v>
      </c>
      <c r="N41" s="104">
        <f t="shared" si="21"/>
        <v>0</v>
      </c>
      <c r="O41" s="102">
        <f t="shared" si="21"/>
        <v>0</v>
      </c>
      <c r="P41" s="105">
        <f t="shared" si="21"/>
        <v>0</v>
      </c>
      <c r="Q41" s="106"/>
    </row>
    <row r="42" spans="1:18" ht="12.75" customHeight="1">
      <c r="A42" s="113" t="s">
        <v>20</v>
      </c>
      <c r="B42" s="114"/>
      <c r="C42" s="114"/>
      <c r="D42" s="114">
        <f>+B42+C42</f>
        <v>0</v>
      </c>
      <c r="E42" s="114"/>
      <c r="F42" s="114"/>
      <c r="G42" s="114"/>
      <c r="H42" s="114">
        <f>SUM(E42:G42)</f>
        <v>0</v>
      </c>
      <c r="I42" s="43"/>
      <c r="J42" s="43"/>
      <c r="K42" s="43"/>
      <c r="L42" s="78">
        <f>SUM(I42:K42)</f>
        <v>0</v>
      </c>
      <c r="M42" s="114">
        <f t="shared" ref="M42:O43" si="22">+E42-I42</f>
        <v>0</v>
      </c>
      <c r="N42" s="115">
        <f t="shared" si="22"/>
        <v>0</v>
      </c>
      <c r="O42" s="114">
        <f t="shared" si="22"/>
        <v>0</v>
      </c>
      <c r="P42" s="116">
        <f>SUM(M42:O42)</f>
        <v>0</v>
      </c>
      <c r="Q42" s="106"/>
    </row>
    <row r="43" spans="1:18" ht="12.75" customHeight="1">
      <c r="A43" s="113" t="s">
        <v>21</v>
      </c>
      <c r="B43" s="114"/>
      <c r="C43" s="114"/>
      <c r="D43" s="114">
        <f>+B43+C43</f>
        <v>0</v>
      </c>
      <c r="E43" s="114"/>
      <c r="F43" s="114"/>
      <c r="G43" s="114"/>
      <c r="H43" s="114">
        <f>SUM(E43:G43)</f>
        <v>0</v>
      </c>
      <c r="I43" s="43"/>
      <c r="J43" s="43"/>
      <c r="K43" s="43"/>
      <c r="L43" s="78">
        <f>SUM(I43:K43)</f>
        <v>0</v>
      </c>
      <c r="M43" s="114">
        <f t="shared" si="22"/>
        <v>0</v>
      </c>
      <c r="N43" s="115">
        <f t="shared" si="22"/>
        <v>0</v>
      </c>
      <c r="O43" s="114">
        <f t="shared" si="22"/>
        <v>0</v>
      </c>
      <c r="P43" s="116">
        <f>SUM(M43:O43)</f>
        <v>0</v>
      </c>
      <c r="Q43" s="106"/>
    </row>
    <row r="44" spans="1:18">
      <c r="A44" s="133"/>
      <c r="B44" s="134"/>
      <c r="C44" s="134"/>
      <c r="D44" s="134"/>
      <c r="E44" s="114"/>
      <c r="F44" s="114"/>
      <c r="G44" s="114"/>
      <c r="H44" s="114"/>
      <c r="I44" s="63"/>
      <c r="J44" s="63"/>
      <c r="K44" s="63"/>
      <c r="L44" s="79"/>
      <c r="M44" s="114"/>
      <c r="N44" s="115"/>
      <c r="O44" s="114"/>
      <c r="P44" s="116"/>
      <c r="Q44" s="106"/>
    </row>
    <row r="45" spans="1:18">
      <c r="A45" s="135" t="s">
        <v>225</v>
      </c>
      <c r="B45" s="102">
        <f>+B46+B50</f>
        <v>77016</v>
      </c>
      <c r="C45" s="102">
        <f>+C46+C50</f>
        <v>2852</v>
      </c>
      <c r="D45" s="102">
        <f>+D46+D50</f>
        <v>79868</v>
      </c>
      <c r="E45" s="102">
        <f t="shared" ref="E45:P45" si="23">+E46+E50</f>
        <v>58443</v>
      </c>
      <c r="F45" s="102">
        <f t="shared" si="23"/>
        <v>21273</v>
      </c>
      <c r="G45" s="102">
        <f t="shared" si="23"/>
        <v>6992</v>
      </c>
      <c r="H45" s="102">
        <f t="shared" si="23"/>
        <v>86708</v>
      </c>
      <c r="I45" s="45">
        <f t="shared" si="23"/>
        <v>58329</v>
      </c>
      <c r="J45" s="45">
        <f t="shared" si="23"/>
        <v>20004</v>
      </c>
      <c r="K45" s="45">
        <f t="shared" si="23"/>
        <v>209</v>
      </c>
      <c r="L45" s="103">
        <f t="shared" si="23"/>
        <v>78542</v>
      </c>
      <c r="M45" s="102">
        <f t="shared" si="23"/>
        <v>114</v>
      </c>
      <c r="N45" s="104">
        <f t="shared" si="23"/>
        <v>1269</v>
      </c>
      <c r="O45" s="102">
        <f t="shared" si="23"/>
        <v>6783</v>
      </c>
      <c r="P45" s="105">
        <f t="shared" si="23"/>
        <v>8166</v>
      </c>
      <c r="Q45" s="106">
        <f>+L45/H45</f>
        <v>0.90582183881533418</v>
      </c>
      <c r="R45" s="136"/>
    </row>
    <row r="46" spans="1:18">
      <c r="A46" s="127" t="s">
        <v>15</v>
      </c>
      <c r="B46" s="108">
        <f>SUM(B47:B49)</f>
        <v>77016</v>
      </c>
      <c r="C46" s="108">
        <f>SUM(C47:C49)</f>
        <v>2852</v>
      </c>
      <c r="D46" s="108">
        <f>SUM(D47:D49)</f>
        <v>79868</v>
      </c>
      <c r="E46" s="108">
        <f t="shared" ref="E46:P46" si="24">SUM(E47:E49)</f>
        <v>58443</v>
      </c>
      <c r="F46" s="108">
        <f t="shared" si="24"/>
        <v>21273</v>
      </c>
      <c r="G46" s="108">
        <f t="shared" si="24"/>
        <v>6992</v>
      </c>
      <c r="H46" s="108">
        <f t="shared" si="24"/>
        <v>86708</v>
      </c>
      <c r="I46" s="109">
        <f t="shared" si="24"/>
        <v>58329</v>
      </c>
      <c r="J46" s="109">
        <f t="shared" si="24"/>
        <v>20004</v>
      </c>
      <c r="K46" s="109">
        <f t="shared" si="24"/>
        <v>209</v>
      </c>
      <c r="L46" s="110">
        <f t="shared" si="24"/>
        <v>78542</v>
      </c>
      <c r="M46" s="108">
        <f t="shared" si="24"/>
        <v>114</v>
      </c>
      <c r="N46" s="111">
        <f t="shared" si="24"/>
        <v>1269</v>
      </c>
      <c r="O46" s="108">
        <f t="shared" si="24"/>
        <v>6783</v>
      </c>
      <c r="P46" s="112">
        <f t="shared" si="24"/>
        <v>8166</v>
      </c>
      <c r="Q46" s="106"/>
    </row>
    <row r="47" spans="1:18">
      <c r="A47" s="113" t="s">
        <v>16</v>
      </c>
      <c r="B47" s="114">
        <v>72310</v>
      </c>
      <c r="C47" s="114"/>
      <c r="D47" s="114">
        <f>+B47+C47</f>
        <v>72310</v>
      </c>
      <c r="E47" s="114">
        <v>50814</v>
      </c>
      <c r="F47" s="114">
        <v>21273</v>
      </c>
      <c r="G47" s="114">
        <v>6992</v>
      </c>
      <c r="H47" s="114">
        <f>SUM(E47:G47)</f>
        <v>79079</v>
      </c>
      <c r="I47" s="43">
        <v>50814</v>
      </c>
      <c r="J47" s="43">
        <v>20004</v>
      </c>
      <c r="K47" s="43">
        <v>209</v>
      </c>
      <c r="L47" s="78">
        <f>SUM(I47:K47)</f>
        <v>71027</v>
      </c>
      <c r="M47" s="114">
        <f t="shared" ref="M47:O49" si="25">+E47-I47</f>
        <v>0</v>
      </c>
      <c r="N47" s="115">
        <f t="shared" si="25"/>
        <v>1269</v>
      </c>
      <c r="O47" s="114">
        <f t="shared" si="25"/>
        <v>6783</v>
      </c>
      <c r="P47" s="116">
        <f>SUM(M47:O47)</f>
        <v>8052</v>
      </c>
      <c r="Q47" s="106"/>
    </row>
    <row r="48" spans="1:18">
      <c r="A48" s="113" t="s">
        <v>17</v>
      </c>
      <c r="B48" s="114"/>
      <c r="C48" s="114">
        <f>+H48</f>
        <v>2852</v>
      </c>
      <c r="D48" s="114">
        <f>+B48+C48</f>
        <v>2852</v>
      </c>
      <c r="E48" s="114">
        <v>2852</v>
      </c>
      <c r="F48" s="114"/>
      <c r="G48" s="114"/>
      <c r="H48" s="114">
        <f>SUM(E48:G48)</f>
        <v>2852</v>
      </c>
      <c r="I48" s="43">
        <v>2823</v>
      </c>
      <c r="J48" s="43"/>
      <c r="K48" s="43"/>
      <c r="L48" s="78">
        <f>SUM(I48:K48)</f>
        <v>2823</v>
      </c>
      <c r="M48" s="114">
        <f t="shared" si="25"/>
        <v>29</v>
      </c>
      <c r="N48" s="115">
        <f t="shared" si="25"/>
        <v>0</v>
      </c>
      <c r="O48" s="114">
        <f t="shared" si="25"/>
        <v>0</v>
      </c>
      <c r="P48" s="116">
        <f>SUM(M48:O48)</f>
        <v>29</v>
      </c>
      <c r="Q48" s="106"/>
    </row>
    <row r="49" spans="1:17">
      <c r="A49" s="113" t="s">
        <v>18</v>
      </c>
      <c r="B49" s="114">
        <v>4706</v>
      </c>
      <c r="C49" s="114"/>
      <c r="D49" s="114">
        <f>+B49+C49</f>
        <v>4706</v>
      </c>
      <c r="E49" s="114">
        <v>4777</v>
      </c>
      <c r="F49" s="114"/>
      <c r="G49" s="114"/>
      <c r="H49" s="114">
        <f>SUM(E49:G49)</f>
        <v>4777</v>
      </c>
      <c r="I49" s="43">
        <v>4692</v>
      </c>
      <c r="J49" s="43"/>
      <c r="K49" s="43"/>
      <c r="L49" s="78">
        <f>SUM(I49:K49)</f>
        <v>4692</v>
      </c>
      <c r="M49" s="114">
        <f t="shared" si="25"/>
        <v>85</v>
      </c>
      <c r="N49" s="115">
        <f t="shared" si="25"/>
        <v>0</v>
      </c>
      <c r="O49" s="114">
        <f t="shared" si="25"/>
        <v>0</v>
      </c>
      <c r="P49" s="116">
        <f>SUM(M49:O49)</f>
        <v>85</v>
      </c>
      <c r="Q49" s="106"/>
    </row>
    <row r="50" spans="1:17">
      <c r="A50" s="113" t="s">
        <v>19</v>
      </c>
      <c r="B50" s="102">
        <f>SUM(B51:B52)</f>
        <v>0</v>
      </c>
      <c r="C50" s="102">
        <f>SUM(C51:C52)</f>
        <v>0</v>
      </c>
      <c r="D50" s="102">
        <f>SUM(D51:D52)</f>
        <v>0</v>
      </c>
      <c r="E50" s="102">
        <f t="shared" ref="E50:P50" si="26">SUM(E51:E52)</f>
        <v>0</v>
      </c>
      <c r="F50" s="102">
        <f t="shared" si="26"/>
        <v>0</v>
      </c>
      <c r="G50" s="102">
        <f t="shared" si="26"/>
        <v>0</v>
      </c>
      <c r="H50" s="102">
        <f t="shared" si="26"/>
        <v>0</v>
      </c>
      <c r="I50" s="45">
        <f t="shared" si="26"/>
        <v>0</v>
      </c>
      <c r="J50" s="45">
        <f t="shared" si="26"/>
        <v>0</v>
      </c>
      <c r="K50" s="45">
        <f t="shared" si="26"/>
        <v>0</v>
      </c>
      <c r="L50" s="103">
        <f t="shared" si="26"/>
        <v>0</v>
      </c>
      <c r="M50" s="102">
        <f t="shared" si="26"/>
        <v>0</v>
      </c>
      <c r="N50" s="104">
        <f t="shared" si="26"/>
        <v>0</v>
      </c>
      <c r="O50" s="102">
        <f t="shared" si="26"/>
        <v>0</v>
      </c>
      <c r="P50" s="105">
        <f t="shared" si="26"/>
        <v>0</v>
      </c>
      <c r="Q50" s="106"/>
    </row>
    <row r="51" spans="1:17" ht="12.75" customHeight="1">
      <c r="A51" s="113" t="s">
        <v>20</v>
      </c>
      <c r="B51" s="114"/>
      <c r="C51" s="114"/>
      <c r="D51" s="114">
        <f>+B51+C51</f>
        <v>0</v>
      </c>
      <c r="E51" s="114"/>
      <c r="F51" s="114"/>
      <c r="G51" s="114"/>
      <c r="H51" s="114">
        <f>SUM(E51:G51)</f>
        <v>0</v>
      </c>
      <c r="I51" s="43"/>
      <c r="J51" s="43"/>
      <c r="K51" s="43"/>
      <c r="L51" s="78">
        <f>SUM(I51:K51)</f>
        <v>0</v>
      </c>
      <c r="M51" s="114">
        <f t="shared" ref="M51:O52" si="27">+E51-I51</f>
        <v>0</v>
      </c>
      <c r="N51" s="115">
        <f t="shared" si="27"/>
        <v>0</v>
      </c>
      <c r="O51" s="114">
        <f t="shared" si="27"/>
        <v>0</v>
      </c>
      <c r="P51" s="116">
        <f>SUM(M51:O51)</f>
        <v>0</v>
      </c>
      <c r="Q51" s="106"/>
    </row>
    <row r="52" spans="1:17" ht="12.75" customHeight="1">
      <c r="A52" s="113" t="s">
        <v>21</v>
      </c>
      <c r="B52" s="114"/>
      <c r="C52" s="114"/>
      <c r="D52" s="114">
        <f>+B52+C52</f>
        <v>0</v>
      </c>
      <c r="E52" s="114"/>
      <c r="F52" s="114"/>
      <c r="G52" s="114"/>
      <c r="H52" s="114">
        <f>SUM(E52:G52)</f>
        <v>0</v>
      </c>
      <c r="I52" s="43"/>
      <c r="J52" s="43"/>
      <c r="K52" s="43"/>
      <c r="L52" s="78">
        <f>SUM(I52:K52)</f>
        <v>0</v>
      </c>
      <c r="M52" s="114">
        <f t="shared" si="27"/>
        <v>0</v>
      </c>
      <c r="N52" s="115">
        <f t="shared" si="27"/>
        <v>0</v>
      </c>
      <c r="O52" s="114">
        <f t="shared" si="27"/>
        <v>0</v>
      </c>
      <c r="P52" s="116">
        <f>SUM(M52:O52)</f>
        <v>0</v>
      </c>
      <c r="Q52" s="106"/>
    </row>
    <row r="53" spans="1:17">
      <c r="A53" s="225"/>
      <c r="B53" s="226"/>
      <c r="C53" s="226"/>
      <c r="D53" s="226"/>
      <c r="E53" s="102"/>
      <c r="F53" s="102"/>
      <c r="G53" s="102"/>
      <c r="H53" s="102"/>
      <c r="I53" s="74"/>
      <c r="J53" s="74"/>
      <c r="K53" s="74"/>
      <c r="L53" s="138"/>
      <c r="M53" s="102"/>
      <c r="N53" s="104"/>
      <c r="O53" s="102"/>
      <c r="P53" s="105"/>
      <c r="Q53" s="227"/>
    </row>
    <row r="54" spans="1:17">
      <c r="A54" s="120" t="s">
        <v>226</v>
      </c>
      <c r="B54" s="102">
        <f>+B55+B59</f>
        <v>1009834</v>
      </c>
      <c r="C54" s="102">
        <f>+C55+C59</f>
        <v>55285</v>
      </c>
      <c r="D54" s="102">
        <f>+D55+D59</f>
        <v>1065119</v>
      </c>
      <c r="E54" s="102">
        <f t="shared" ref="E54:P54" si="28">+E55+E59</f>
        <v>841833</v>
      </c>
      <c r="F54" s="102">
        <f t="shared" si="28"/>
        <v>218944</v>
      </c>
      <c r="G54" s="102">
        <f t="shared" si="28"/>
        <v>85539</v>
      </c>
      <c r="H54" s="102">
        <f t="shared" si="28"/>
        <v>1146316</v>
      </c>
      <c r="I54" s="45">
        <f t="shared" si="28"/>
        <v>831115</v>
      </c>
      <c r="J54" s="45">
        <f t="shared" si="28"/>
        <v>182531</v>
      </c>
      <c r="K54" s="45">
        <f t="shared" si="28"/>
        <v>0</v>
      </c>
      <c r="L54" s="103">
        <f t="shared" si="28"/>
        <v>1013646</v>
      </c>
      <c r="M54" s="102">
        <f t="shared" si="28"/>
        <v>10718</v>
      </c>
      <c r="N54" s="104">
        <f t="shared" si="28"/>
        <v>36413</v>
      </c>
      <c r="O54" s="102">
        <f t="shared" si="28"/>
        <v>85539</v>
      </c>
      <c r="P54" s="105">
        <f t="shared" si="28"/>
        <v>132670</v>
      </c>
      <c r="Q54" s="106">
        <f>+L54/H54</f>
        <v>0.88426402492855372</v>
      </c>
    </row>
    <row r="55" spans="1:17">
      <c r="A55" s="127" t="s">
        <v>15</v>
      </c>
      <c r="B55" s="108">
        <f>SUM(B56:B58)</f>
        <v>1009834</v>
      </c>
      <c r="C55" s="108">
        <f>SUM(C56:C58)</f>
        <v>55285</v>
      </c>
      <c r="D55" s="108">
        <f>SUM(D56:D58)</f>
        <v>1065119</v>
      </c>
      <c r="E55" s="108">
        <f t="shared" ref="E55:P55" si="29">SUM(E56:E58)</f>
        <v>841833</v>
      </c>
      <c r="F55" s="108">
        <f t="shared" si="29"/>
        <v>218944</v>
      </c>
      <c r="G55" s="108">
        <f t="shared" si="29"/>
        <v>85539</v>
      </c>
      <c r="H55" s="108">
        <f t="shared" si="29"/>
        <v>1146316</v>
      </c>
      <c r="I55" s="109">
        <f t="shared" si="29"/>
        <v>831115</v>
      </c>
      <c r="J55" s="109">
        <f t="shared" si="29"/>
        <v>182531</v>
      </c>
      <c r="K55" s="109">
        <f t="shared" si="29"/>
        <v>0</v>
      </c>
      <c r="L55" s="110">
        <f t="shared" si="29"/>
        <v>1013646</v>
      </c>
      <c r="M55" s="108">
        <f t="shared" si="29"/>
        <v>10718</v>
      </c>
      <c r="N55" s="111">
        <f t="shared" si="29"/>
        <v>36413</v>
      </c>
      <c r="O55" s="108">
        <f t="shared" si="29"/>
        <v>85539</v>
      </c>
      <c r="P55" s="112">
        <f t="shared" si="29"/>
        <v>132670</v>
      </c>
      <c r="Q55" s="106"/>
    </row>
    <row r="56" spans="1:17">
      <c r="A56" s="113" t="s">
        <v>16</v>
      </c>
      <c r="B56" s="114">
        <v>948497</v>
      </c>
      <c r="C56" s="114"/>
      <c r="D56" s="114">
        <f>+B56+C56</f>
        <v>948497</v>
      </c>
      <c r="E56" s="114">
        <v>725211</v>
      </c>
      <c r="F56" s="114">
        <v>218944</v>
      </c>
      <c r="G56" s="114">
        <v>85539</v>
      </c>
      <c r="H56" s="114">
        <f>SUM(E56:G56)</f>
        <v>1029694</v>
      </c>
      <c r="I56" s="43">
        <v>725210</v>
      </c>
      <c r="J56" s="43">
        <v>182531</v>
      </c>
      <c r="K56" s="43">
        <v>0</v>
      </c>
      <c r="L56" s="78">
        <f>SUM(I56:K56)</f>
        <v>907741</v>
      </c>
      <c r="M56" s="114">
        <f t="shared" ref="M56:O58" si="30">+E56-I56</f>
        <v>1</v>
      </c>
      <c r="N56" s="115">
        <f t="shared" si="30"/>
        <v>36413</v>
      </c>
      <c r="O56" s="114">
        <f t="shared" si="30"/>
        <v>85539</v>
      </c>
      <c r="P56" s="116">
        <f>SUM(M56:O56)</f>
        <v>121953</v>
      </c>
      <c r="Q56" s="106"/>
    </row>
    <row r="57" spans="1:17">
      <c r="A57" s="113" t="s">
        <v>17</v>
      </c>
      <c r="B57" s="114"/>
      <c r="C57" s="114">
        <f>+H57</f>
        <v>55285</v>
      </c>
      <c r="D57" s="114">
        <f>+B57+C57</f>
        <v>55285</v>
      </c>
      <c r="E57" s="114">
        <v>55285</v>
      </c>
      <c r="F57" s="114"/>
      <c r="G57" s="114"/>
      <c r="H57" s="114">
        <f>SUM(E57:G57)</f>
        <v>55285</v>
      </c>
      <c r="I57" s="43">
        <f>6398+1374+4506+43007</f>
        <v>55285</v>
      </c>
      <c r="J57" s="43"/>
      <c r="K57" s="43"/>
      <c r="L57" s="78">
        <f>SUM(I57:K57)</f>
        <v>55285</v>
      </c>
      <c r="M57" s="143">
        <f t="shared" si="30"/>
        <v>0</v>
      </c>
      <c r="N57" s="236">
        <f t="shared" si="30"/>
        <v>0</v>
      </c>
      <c r="O57" s="143">
        <f t="shared" si="30"/>
        <v>0</v>
      </c>
      <c r="P57" s="144">
        <f>SUM(M57:O57)</f>
        <v>0</v>
      </c>
      <c r="Q57" s="106"/>
    </row>
    <row r="58" spans="1:17">
      <c r="A58" s="113" t="s">
        <v>18</v>
      </c>
      <c r="B58" s="114">
        <v>61337</v>
      </c>
      <c r="C58" s="114"/>
      <c r="D58" s="114">
        <f>+B58+C58</f>
        <v>61337</v>
      </c>
      <c r="E58" s="114">
        <v>61337</v>
      </c>
      <c r="F58" s="114"/>
      <c r="G58" s="114"/>
      <c r="H58" s="114">
        <f>SUM(E58:G58)</f>
        <v>61337</v>
      </c>
      <c r="I58" s="43">
        <f>12437+12471+12539+13173</f>
        <v>50620</v>
      </c>
      <c r="J58" s="43"/>
      <c r="K58" s="43"/>
      <c r="L58" s="78">
        <f>SUM(I58:K58)</f>
        <v>50620</v>
      </c>
      <c r="M58" s="114">
        <f t="shared" si="30"/>
        <v>10717</v>
      </c>
      <c r="N58" s="115">
        <f t="shared" si="30"/>
        <v>0</v>
      </c>
      <c r="O58" s="114">
        <f t="shared" si="30"/>
        <v>0</v>
      </c>
      <c r="P58" s="116">
        <f>SUM(M58:O58)</f>
        <v>10717</v>
      </c>
      <c r="Q58" s="106"/>
    </row>
    <row r="59" spans="1:17">
      <c r="A59" s="113" t="s">
        <v>19</v>
      </c>
      <c r="B59" s="102">
        <f>SUM(B60:B61)</f>
        <v>0</v>
      </c>
      <c r="C59" s="102">
        <f>SUM(C60:C61)</f>
        <v>0</v>
      </c>
      <c r="D59" s="102">
        <f>SUM(D60:D61)</f>
        <v>0</v>
      </c>
      <c r="E59" s="102">
        <f t="shared" ref="E59:P59" si="31">SUM(E60:E61)</f>
        <v>0</v>
      </c>
      <c r="F59" s="102">
        <f t="shared" si="31"/>
        <v>0</v>
      </c>
      <c r="G59" s="102">
        <f t="shared" si="31"/>
        <v>0</v>
      </c>
      <c r="H59" s="102">
        <f t="shared" si="31"/>
        <v>0</v>
      </c>
      <c r="I59" s="45">
        <f t="shared" si="31"/>
        <v>0</v>
      </c>
      <c r="J59" s="45">
        <f t="shared" si="31"/>
        <v>0</v>
      </c>
      <c r="K59" s="45">
        <f t="shared" si="31"/>
        <v>0</v>
      </c>
      <c r="L59" s="103">
        <f t="shared" si="31"/>
        <v>0</v>
      </c>
      <c r="M59" s="102">
        <f t="shared" si="31"/>
        <v>0</v>
      </c>
      <c r="N59" s="104">
        <f t="shared" si="31"/>
        <v>0</v>
      </c>
      <c r="O59" s="102">
        <f t="shared" si="31"/>
        <v>0</v>
      </c>
      <c r="P59" s="105">
        <f t="shared" si="31"/>
        <v>0</v>
      </c>
      <c r="Q59" s="106"/>
    </row>
    <row r="60" spans="1:17" ht="12.75" customHeight="1">
      <c r="A60" s="113" t="s">
        <v>20</v>
      </c>
      <c r="B60" s="114"/>
      <c r="C60" s="114">
        <f>+H60</f>
        <v>0</v>
      </c>
      <c r="D60" s="114">
        <f>+B60+C60</f>
        <v>0</v>
      </c>
      <c r="E60" s="114"/>
      <c r="F60" s="114"/>
      <c r="G60" s="114"/>
      <c r="H60" s="114">
        <f>SUM(E60:G60)</f>
        <v>0</v>
      </c>
      <c r="I60" s="43"/>
      <c r="J60" s="43"/>
      <c r="K60" s="43"/>
      <c r="L60" s="78">
        <f>SUM(I60:K60)</f>
        <v>0</v>
      </c>
      <c r="M60" s="114">
        <f t="shared" ref="M60:O61" si="32">+E60-I60</f>
        <v>0</v>
      </c>
      <c r="N60" s="115">
        <f t="shared" si="32"/>
        <v>0</v>
      </c>
      <c r="O60" s="114">
        <f t="shared" si="32"/>
        <v>0</v>
      </c>
      <c r="P60" s="116">
        <f>SUM(M60:O60)</f>
        <v>0</v>
      </c>
      <c r="Q60" s="106"/>
    </row>
    <row r="61" spans="1:17" ht="12.75" customHeight="1">
      <c r="A61" s="113" t="s">
        <v>21</v>
      </c>
      <c r="B61" s="114"/>
      <c r="C61" s="114"/>
      <c r="D61" s="114">
        <f>+B61+C61</f>
        <v>0</v>
      </c>
      <c r="E61" s="114"/>
      <c r="F61" s="114"/>
      <c r="G61" s="114"/>
      <c r="H61" s="114">
        <f>SUM(E61:G61)</f>
        <v>0</v>
      </c>
      <c r="I61" s="43"/>
      <c r="J61" s="43"/>
      <c r="K61" s="43"/>
      <c r="L61" s="78">
        <f>SUM(I61:K61)</f>
        <v>0</v>
      </c>
      <c r="M61" s="114">
        <f t="shared" si="32"/>
        <v>0</v>
      </c>
      <c r="N61" s="115">
        <f t="shared" si="32"/>
        <v>0</v>
      </c>
      <c r="O61" s="114">
        <f t="shared" si="32"/>
        <v>0</v>
      </c>
      <c r="P61" s="116">
        <f>SUM(M61:O61)</f>
        <v>0</v>
      </c>
      <c r="Q61" s="106"/>
    </row>
    <row r="62" spans="1:17">
      <c r="A62" s="121"/>
      <c r="B62" s="122"/>
      <c r="C62" s="122"/>
      <c r="D62" s="122"/>
      <c r="E62" s="114"/>
      <c r="F62" s="114"/>
      <c r="G62" s="114"/>
      <c r="H62" s="114"/>
      <c r="I62" s="63"/>
      <c r="J62" s="63"/>
      <c r="K62" s="63"/>
      <c r="L62" s="79"/>
      <c r="M62" s="114"/>
      <c r="N62" s="115"/>
      <c r="O62" s="114"/>
      <c r="P62" s="116"/>
      <c r="Q62" s="106"/>
    </row>
    <row r="63" spans="1:17">
      <c r="A63" s="135" t="s">
        <v>227</v>
      </c>
      <c r="B63" s="102">
        <f>+B64+B68</f>
        <v>244034</v>
      </c>
      <c r="C63" s="102">
        <f>+C64+C68</f>
        <v>10425</v>
      </c>
      <c r="D63" s="102">
        <f>+D64+D68</f>
        <v>254459</v>
      </c>
      <c r="E63" s="102">
        <f t="shared" ref="E63:P63" si="33">+E64+E68</f>
        <v>188101</v>
      </c>
      <c r="F63" s="102">
        <f t="shared" si="33"/>
        <v>66358</v>
      </c>
      <c r="G63" s="102">
        <f t="shared" si="33"/>
        <v>24957</v>
      </c>
      <c r="H63" s="102">
        <f t="shared" si="33"/>
        <v>279416</v>
      </c>
      <c r="I63" s="45">
        <f t="shared" si="33"/>
        <v>91021</v>
      </c>
      <c r="J63" s="45">
        <f t="shared" si="33"/>
        <v>22031</v>
      </c>
      <c r="K63" s="45">
        <f t="shared" si="33"/>
        <v>0</v>
      </c>
      <c r="L63" s="103">
        <f t="shared" si="33"/>
        <v>113052</v>
      </c>
      <c r="M63" s="102">
        <f t="shared" si="33"/>
        <v>97080</v>
      </c>
      <c r="N63" s="104">
        <f t="shared" si="33"/>
        <v>44327</v>
      </c>
      <c r="O63" s="102">
        <f t="shared" si="33"/>
        <v>24957</v>
      </c>
      <c r="P63" s="105">
        <f t="shared" si="33"/>
        <v>166364</v>
      </c>
      <c r="Q63" s="106">
        <f>+L63/H63</f>
        <v>0.40460102499498957</v>
      </c>
    </row>
    <row r="64" spans="1:17">
      <c r="A64" s="127" t="s">
        <v>15</v>
      </c>
      <c r="B64" s="108">
        <f>SUM(B65:B67)</f>
        <v>244034</v>
      </c>
      <c r="C64" s="108">
        <f>SUM(C65:C67)</f>
        <v>10425</v>
      </c>
      <c r="D64" s="108">
        <f>SUM(D65:D67)</f>
        <v>254459</v>
      </c>
      <c r="E64" s="108">
        <f t="shared" ref="E64:P64" si="34">SUM(E65:E67)</f>
        <v>188101</v>
      </c>
      <c r="F64" s="108">
        <f t="shared" si="34"/>
        <v>66358</v>
      </c>
      <c r="G64" s="108">
        <f t="shared" si="34"/>
        <v>24957</v>
      </c>
      <c r="H64" s="108">
        <f t="shared" si="34"/>
        <v>279416</v>
      </c>
      <c r="I64" s="109">
        <f t="shared" si="34"/>
        <v>91021</v>
      </c>
      <c r="J64" s="109">
        <f t="shared" si="34"/>
        <v>22031</v>
      </c>
      <c r="K64" s="109">
        <f t="shared" si="34"/>
        <v>0</v>
      </c>
      <c r="L64" s="110">
        <f t="shared" si="34"/>
        <v>113052</v>
      </c>
      <c r="M64" s="108">
        <f t="shared" si="34"/>
        <v>97080</v>
      </c>
      <c r="N64" s="111">
        <f t="shared" si="34"/>
        <v>44327</v>
      </c>
      <c r="O64" s="108">
        <f t="shared" si="34"/>
        <v>24957</v>
      </c>
      <c r="P64" s="112">
        <f t="shared" si="34"/>
        <v>166364</v>
      </c>
      <c r="Q64" s="106"/>
    </row>
    <row r="65" spans="1:17">
      <c r="A65" s="113" t="s">
        <v>16</v>
      </c>
      <c r="B65" s="114">
        <v>229080</v>
      </c>
      <c r="C65" s="114"/>
      <c r="D65" s="114">
        <f>+B65+C65</f>
        <v>229080</v>
      </c>
      <c r="E65" s="114">
        <v>162722</v>
      </c>
      <c r="F65" s="114">
        <v>66358</v>
      </c>
      <c r="G65" s="114">
        <v>24957</v>
      </c>
      <c r="H65" s="114">
        <f>SUM(E65:G65)</f>
        <v>254037</v>
      </c>
      <c r="I65" s="43">
        <v>81863</v>
      </c>
      <c r="J65" s="43">
        <v>22031</v>
      </c>
      <c r="K65" s="43"/>
      <c r="L65" s="78">
        <f>SUM(I65:K65)</f>
        <v>103894</v>
      </c>
      <c r="M65" s="114">
        <f t="shared" ref="M65:O67" si="35">+E65-I65</f>
        <v>80859</v>
      </c>
      <c r="N65" s="115">
        <f t="shared" si="35"/>
        <v>44327</v>
      </c>
      <c r="O65" s="114">
        <f t="shared" si="35"/>
        <v>24957</v>
      </c>
      <c r="P65" s="116">
        <f>SUM(M65:O65)</f>
        <v>150143</v>
      </c>
      <c r="Q65" s="106"/>
    </row>
    <row r="66" spans="1:17">
      <c r="A66" s="113" t="s">
        <v>17</v>
      </c>
      <c r="B66" s="114"/>
      <c r="C66" s="114">
        <f>+H66</f>
        <v>10425</v>
      </c>
      <c r="D66" s="114">
        <f>+B66+C66</f>
        <v>10425</v>
      </c>
      <c r="E66" s="114">
        <v>10425</v>
      </c>
      <c r="F66" s="114"/>
      <c r="G66" s="114"/>
      <c r="H66" s="114">
        <f>SUM(E66:G66)</f>
        <v>10425</v>
      </c>
      <c r="I66" s="43">
        <v>2324</v>
      </c>
      <c r="J66" s="43"/>
      <c r="K66" s="43"/>
      <c r="L66" s="78">
        <f>SUM(I66:K66)</f>
        <v>2324</v>
      </c>
      <c r="M66" s="114">
        <f t="shared" si="35"/>
        <v>8101</v>
      </c>
      <c r="N66" s="115">
        <f t="shared" si="35"/>
        <v>0</v>
      </c>
      <c r="O66" s="114">
        <f t="shared" si="35"/>
        <v>0</v>
      </c>
      <c r="P66" s="116">
        <f>SUM(M66:O66)</f>
        <v>8101</v>
      </c>
      <c r="Q66" s="106"/>
    </row>
    <row r="67" spans="1:17">
      <c r="A67" s="113" t="s">
        <v>18</v>
      </c>
      <c r="B67" s="114">
        <v>14954</v>
      </c>
      <c r="C67" s="114"/>
      <c r="D67" s="114">
        <f>+B67+C67</f>
        <v>14954</v>
      </c>
      <c r="E67" s="114">
        <v>14954</v>
      </c>
      <c r="F67" s="114"/>
      <c r="G67" s="114"/>
      <c r="H67" s="114">
        <f>SUM(E67:G67)</f>
        <v>14954</v>
      </c>
      <c r="I67" s="43">
        <v>6834</v>
      </c>
      <c r="J67" s="43"/>
      <c r="K67" s="43"/>
      <c r="L67" s="78">
        <f>SUM(I67:K67)</f>
        <v>6834</v>
      </c>
      <c r="M67" s="114">
        <f t="shared" si="35"/>
        <v>8120</v>
      </c>
      <c r="N67" s="115">
        <f t="shared" si="35"/>
        <v>0</v>
      </c>
      <c r="O67" s="114">
        <f t="shared" si="35"/>
        <v>0</v>
      </c>
      <c r="P67" s="116">
        <f>SUM(M67:O67)</f>
        <v>8120</v>
      </c>
      <c r="Q67" s="106"/>
    </row>
    <row r="68" spans="1:17">
      <c r="A68" s="113" t="s">
        <v>19</v>
      </c>
      <c r="B68" s="102">
        <f>SUM(B69:B70)</f>
        <v>0</v>
      </c>
      <c r="C68" s="102">
        <f>SUM(C69:C70)</f>
        <v>0</v>
      </c>
      <c r="D68" s="102">
        <f>SUM(D69:D70)</f>
        <v>0</v>
      </c>
      <c r="E68" s="102">
        <f t="shared" ref="E68:P68" si="36">SUM(E69:E70)</f>
        <v>0</v>
      </c>
      <c r="F68" s="102">
        <f t="shared" si="36"/>
        <v>0</v>
      </c>
      <c r="G68" s="102">
        <f t="shared" si="36"/>
        <v>0</v>
      </c>
      <c r="H68" s="102">
        <f t="shared" si="36"/>
        <v>0</v>
      </c>
      <c r="I68" s="74">
        <f t="shared" si="36"/>
        <v>0</v>
      </c>
      <c r="J68" s="74">
        <f t="shared" si="36"/>
        <v>0</v>
      </c>
      <c r="K68" s="74">
        <f t="shared" si="36"/>
        <v>0</v>
      </c>
      <c r="L68" s="138">
        <f t="shared" si="36"/>
        <v>0</v>
      </c>
      <c r="M68" s="102">
        <f t="shared" si="36"/>
        <v>0</v>
      </c>
      <c r="N68" s="104">
        <f t="shared" si="36"/>
        <v>0</v>
      </c>
      <c r="O68" s="102">
        <f t="shared" si="36"/>
        <v>0</v>
      </c>
      <c r="P68" s="105">
        <f t="shared" si="36"/>
        <v>0</v>
      </c>
      <c r="Q68" s="106"/>
    </row>
    <row r="69" spans="1:17" ht="12.75" customHeight="1">
      <c r="A69" s="113" t="s">
        <v>20</v>
      </c>
      <c r="B69" s="114"/>
      <c r="C69" s="114"/>
      <c r="D69" s="114">
        <f>+B69+C69</f>
        <v>0</v>
      </c>
      <c r="E69" s="114"/>
      <c r="F69" s="114"/>
      <c r="G69" s="114"/>
      <c r="H69" s="114">
        <f>SUM(E69:G69)</f>
        <v>0</v>
      </c>
      <c r="I69" s="63"/>
      <c r="J69" s="63"/>
      <c r="K69" s="63"/>
      <c r="L69" s="79">
        <f>SUM(I69:K69)</f>
        <v>0</v>
      </c>
      <c r="M69" s="114">
        <f t="shared" ref="M69:O70" si="37">+E69-I69</f>
        <v>0</v>
      </c>
      <c r="N69" s="115">
        <f t="shared" si="37"/>
        <v>0</v>
      </c>
      <c r="O69" s="114">
        <f t="shared" si="37"/>
        <v>0</v>
      </c>
      <c r="P69" s="116">
        <f>SUM(M69:O69)</f>
        <v>0</v>
      </c>
      <c r="Q69" s="106"/>
    </row>
    <row r="70" spans="1:17" ht="12.75" customHeight="1">
      <c r="A70" s="113" t="s">
        <v>21</v>
      </c>
      <c r="B70" s="114"/>
      <c r="C70" s="114"/>
      <c r="D70" s="114">
        <f>+B70+C70</f>
        <v>0</v>
      </c>
      <c r="E70" s="114"/>
      <c r="F70" s="114"/>
      <c r="G70" s="114"/>
      <c r="H70" s="114">
        <f>SUM(E70:G70)</f>
        <v>0</v>
      </c>
      <c r="I70" s="63"/>
      <c r="J70" s="63"/>
      <c r="K70" s="63"/>
      <c r="L70" s="79">
        <f>SUM(I70:K70)</f>
        <v>0</v>
      </c>
      <c r="M70" s="114">
        <f t="shared" si="37"/>
        <v>0</v>
      </c>
      <c r="N70" s="115">
        <f t="shared" si="37"/>
        <v>0</v>
      </c>
      <c r="O70" s="114">
        <f t="shared" si="37"/>
        <v>0</v>
      </c>
      <c r="P70" s="116">
        <f>SUM(M70:O70)</f>
        <v>0</v>
      </c>
      <c r="Q70" s="106"/>
    </row>
    <row r="71" spans="1:17">
      <c r="A71" s="127"/>
      <c r="B71" s="137"/>
      <c r="C71" s="137"/>
      <c r="D71" s="137"/>
      <c r="E71" s="114"/>
      <c r="F71" s="114"/>
      <c r="G71" s="114"/>
      <c r="H71" s="114"/>
      <c r="I71" s="118"/>
      <c r="J71" s="118"/>
      <c r="K71" s="118"/>
      <c r="L71" s="119"/>
      <c r="M71" s="114"/>
      <c r="N71" s="115"/>
      <c r="O71" s="114"/>
      <c r="P71" s="116"/>
      <c r="Q71" s="106"/>
    </row>
    <row r="72" spans="1:17">
      <c r="A72" s="135" t="s">
        <v>228</v>
      </c>
      <c r="B72" s="102">
        <f>+B73+B77</f>
        <v>492761</v>
      </c>
      <c r="C72" s="102">
        <f>+C73+C77</f>
        <v>40232</v>
      </c>
      <c r="D72" s="102">
        <f>+D73+D77</f>
        <v>532993</v>
      </c>
      <c r="E72" s="102">
        <f t="shared" ref="E72:L72" si="38">+E73+E77</f>
        <v>437547</v>
      </c>
      <c r="F72" s="102">
        <f t="shared" si="38"/>
        <v>88171</v>
      </c>
      <c r="G72" s="102">
        <f t="shared" si="38"/>
        <v>47245</v>
      </c>
      <c r="H72" s="102">
        <f t="shared" si="38"/>
        <v>572963</v>
      </c>
      <c r="I72" s="45">
        <f t="shared" si="38"/>
        <v>426621</v>
      </c>
      <c r="J72" s="45">
        <f t="shared" si="38"/>
        <v>74764</v>
      </c>
      <c r="K72" s="45">
        <f t="shared" si="38"/>
        <v>2036</v>
      </c>
      <c r="L72" s="103">
        <f t="shared" si="38"/>
        <v>503421</v>
      </c>
      <c r="M72" s="102">
        <f>+M73+M77</f>
        <v>10926</v>
      </c>
      <c r="N72" s="104">
        <f>+N73+N77</f>
        <v>13407</v>
      </c>
      <c r="O72" s="102">
        <f>+O73+O77</f>
        <v>45209</v>
      </c>
      <c r="P72" s="105">
        <f>+P73+P77</f>
        <v>69542</v>
      </c>
      <c r="Q72" s="106">
        <f>+L72/H72</f>
        <v>0.87862741573190595</v>
      </c>
    </row>
    <row r="73" spans="1:17">
      <c r="A73" s="127" t="s">
        <v>15</v>
      </c>
      <c r="B73" s="108">
        <f>SUM(B74:B76)</f>
        <v>492761</v>
      </c>
      <c r="C73" s="108">
        <f>SUM(C74:C76)</f>
        <v>40232</v>
      </c>
      <c r="D73" s="108">
        <f>SUM(D74:D76)</f>
        <v>532993</v>
      </c>
      <c r="E73" s="108">
        <f t="shared" ref="E73:L73" si="39">SUM(E74:E76)</f>
        <v>437547</v>
      </c>
      <c r="F73" s="108">
        <f t="shared" si="39"/>
        <v>88171</v>
      </c>
      <c r="G73" s="108">
        <f t="shared" si="39"/>
        <v>47245</v>
      </c>
      <c r="H73" s="108">
        <f t="shared" si="39"/>
        <v>572963</v>
      </c>
      <c r="I73" s="109">
        <f t="shared" si="39"/>
        <v>426621</v>
      </c>
      <c r="J73" s="109">
        <f t="shared" si="39"/>
        <v>74764</v>
      </c>
      <c r="K73" s="109">
        <f t="shared" si="39"/>
        <v>2036</v>
      </c>
      <c r="L73" s="110">
        <f t="shared" si="39"/>
        <v>503421</v>
      </c>
      <c r="M73" s="108">
        <f>SUM(M74:M76)</f>
        <v>10926</v>
      </c>
      <c r="N73" s="111">
        <f>SUM(N74:N76)</f>
        <v>13407</v>
      </c>
      <c r="O73" s="108">
        <f>SUM(O74:O76)</f>
        <v>45209</v>
      </c>
      <c r="P73" s="112">
        <f>SUM(P74:P76)</f>
        <v>69542</v>
      </c>
      <c r="Q73" s="106"/>
    </row>
    <row r="74" spans="1:17">
      <c r="A74" s="113" t="s">
        <v>16</v>
      </c>
      <c r="B74" s="114">
        <v>461771</v>
      </c>
      <c r="C74" s="114"/>
      <c r="D74" s="114">
        <f>+B74+C74</f>
        <v>461771</v>
      </c>
      <c r="E74" s="114">
        <v>366300</v>
      </c>
      <c r="F74" s="114">
        <v>88171</v>
      </c>
      <c r="G74" s="114">
        <v>46471</v>
      </c>
      <c r="H74" s="114">
        <f>SUM(E74:G74)</f>
        <v>500942</v>
      </c>
      <c r="I74" s="43">
        <v>380290</v>
      </c>
      <c r="J74" s="43">
        <v>74764</v>
      </c>
      <c r="K74" s="43">
        <v>1469</v>
      </c>
      <c r="L74" s="78">
        <f>SUM(I74:K74)</f>
        <v>456523</v>
      </c>
      <c r="M74" s="114">
        <f t="shared" ref="M74:O76" si="40">+E74-I74</f>
        <v>-13990</v>
      </c>
      <c r="N74" s="115">
        <f t="shared" si="40"/>
        <v>13407</v>
      </c>
      <c r="O74" s="114">
        <f t="shared" si="40"/>
        <v>45002</v>
      </c>
      <c r="P74" s="116">
        <f>SUM(M74:O74)</f>
        <v>44419</v>
      </c>
      <c r="Q74" s="106"/>
    </row>
    <row r="75" spans="1:17">
      <c r="A75" s="113" t="s">
        <v>17</v>
      </c>
      <c r="B75" s="114"/>
      <c r="C75" s="114">
        <f>+H75</f>
        <v>40232</v>
      </c>
      <c r="D75" s="114">
        <f>+B75+C75</f>
        <v>40232</v>
      </c>
      <c r="E75" s="114">
        <v>39458</v>
      </c>
      <c r="F75" s="114"/>
      <c r="G75" s="114">
        <v>774</v>
      </c>
      <c r="H75" s="114">
        <f>SUM(E75:G75)</f>
        <v>40232</v>
      </c>
      <c r="I75" s="43">
        <v>16620</v>
      </c>
      <c r="J75" s="43"/>
      <c r="K75" s="43">
        <v>567</v>
      </c>
      <c r="L75" s="78">
        <f>SUM(I75:K75)</f>
        <v>17187</v>
      </c>
      <c r="M75" s="114">
        <f t="shared" si="40"/>
        <v>22838</v>
      </c>
      <c r="N75" s="115">
        <f t="shared" si="40"/>
        <v>0</v>
      </c>
      <c r="O75" s="114">
        <f t="shared" si="40"/>
        <v>207</v>
      </c>
      <c r="P75" s="116">
        <f>SUM(M75:O75)</f>
        <v>23045</v>
      </c>
      <c r="Q75" s="106"/>
    </row>
    <row r="76" spans="1:17">
      <c r="A76" s="113" t="s">
        <v>18</v>
      </c>
      <c r="B76" s="114">
        <v>30990</v>
      </c>
      <c r="C76" s="114"/>
      <c r="D76" s="114">
        <f>+B76+C76</f>
        <v>30990</v>
      </c>
      <c r="E76" s="114">
        <v>31789</v>
      </c>
      <c r="F76" s="114"/>
      <c r="G76" s="114"/>
      <c r="H76" s="114">
        <f>SUM(E76:G76)</f>
        <v>31789</v>
      </c>
      <c r="I76" s="43">
        <v>29711</v>
      </c>
      <c r="J76" s="43"/>
      <c r="K76" s="43"/>
      <c r="L76" s="78">
        <f>SUM(I76:K76)</f>
        <v>29711</v>
      </c>
      <c r="M76" s="114">
        <f t="shared" si="40"/>
        <v>2078</v>
      </c>
      <c r="N76" s="115">
        <f t="shared" si="40"/>
        <v>0</v>
      </c>
      <c r="O76" s="114">
        <f t="shared" si="40"/>
        <v>0</v>
      </c>
      <c r="P76" s="116">
        <f>SUM(M76:O76)</f>
        <v>2078</v>
      </c>
      <c r="Q76" s="106"/>
    </row>
    <row r="77" spans="1:17">
      <c r="A77" s="113" t="s">
        <v>19</v>
      </c>
      <c r="B77" s="102">
        <f>SUM(B78:B79)</f>
        <v>0</v>
      </c>
      <c r="C77" s="102">
        <f>SUM(C78:C79)</f>
        <v>0</v>
      </c>
      <c r="D77" s="102">
        <f>SUM(D78:D79)</f>
        <v>0</v>
      </c>
      <c r="E77" s="102">
        <f t="shared" ref="E77:L77" si="41">SUM(E78:E79)</f>
        <v>0</v>
      </c>
      <c r="F77" s="102">
        <f t="shared" si="41"/>
        <v>0</v>
      </c>
      <c r="G77" s="102">
        <f t="shared" si="41"/>
        <v>0</v>
      </c>
      <c r="H77" s="102">
        <f t="shared" si="41"/>
        <v>0</v>
      </c>
      <c r="I77" s="45">
        <f t="shared" si="41"/>
        <v>0</v>
      </c>
      <c r="J77" s="45">
        <f t="shared" si="41"/>
        <v>0</v>
      </c>
      <c r="K77" s="45">
        <f t="shared" si="41"/>
        <v>0</v>
      </c>
      <c r="L77" s="103">
        <f t="shared" si="41"/>
        <v>0</v>
      </c>
      <c r="M77" s="102">
        <f>SUM(M78:M79)</f>
        <v>0</v>
      </c>
      <c r="N77" s="104">
        <f>SUM(N78:N79)</f>
        <v>0</v>
      </c>
      <c r="O77" s="102">
        <f>SUM(O78:O79)</f>
        <v>0</v>
      </c>
      <c r="P77" s="105">
        <f>SUM(P78:P79)</f>
        <v>0</v>
      </c>
      <c r="Q77" s="106"/>
    </row>
    <row r="78" spans="1:17" ht="12.75" customHeight="1">
      <c r="A78" s="113" t="s">
        <v>20</v>
      </c>
      <c r="B78" s="114"/>
      <c r="C78" s="114"/>
      <c r="D78" s="114">
        <f>+B78+C78</f>
        <v>0</v>
      </c>
      <c r="E78" s="114"/>
      <c r="F78" s="114"/>
      <c r="G78" s="114"/>
      <c r="H78" s="114">
        <f>SUM(E78:G78)</f>
        <v>0</v>
      </c>
      <c r="I78" s="43"/>
      <c r="J78" s="43"/>
      <c r="K78" s="43"/>
      <c r="L78" s="78">
        <f>SUM(I78:K78)</f>
        <v>0</v>
      </c>
      <c r="M78" s="114">
        <f t="shared" ref="M78:O79" si="42">+E78-I78</f>
        <v>0</v>
      </c>
      <c r="N78" s="115">
        <f t="shared" si="42"/>
        <v>0</v>
      </c>
      <c r="O78" s="114">
        <f t="shared" si="42"/>
        <v>0</v>
      </c>
      <c r="P78" s="116">
        <f>SUM(M78:O78)</f>
        <v>0</v>
      </c>
      <c r="Q78" s="106"/>
    </row>
    <row r="79" spans="1:17" ht="12.75" customHeight="1">
      <c r="A79" s="113" t="s">
        <v>21</v>
      </c>
      <c r="B79" s="114"/>
      <c r="C79" s="114"/>
      <c r="D79" s="114">
        <f>+B79+C79</f>
        <v>0</v>
      </c>
      <c r="E79" s="114"/>
      <c r="F79" s="114"/>
      <c r="G79" s="114"/>
      <c r="H79" s="114">
        <f>SUM(E79:G79)</f>
        <v>0</v>
      </c>
      <c r="I79" s="43"/>
      <c r="J79" s="43"/>
      <c r="K79" s="43"/>
      <c r="L79" s="78">
        <f>SUM(I79:K79)</f>
        <v>0</v>
      </c>
      <c r="M79" s="114">
        <f t="shared" si="42"/>
        <v>0</v>
      </c>
      <c r="N79" s="115">
        <f t="shared" si="42"/>
        <v>0</v>
      </c>
      <c r="O79" s="114">
        <f t="shared" si="42"/>
        <v>0</v>
      </c>
      <c r="P79" s="116">
        <f>SUM(M79:O79)</f>
        <v>0</v>
      </c>
      <c r="Q79" s="106"/>
    </row>
    <row r="80" spans="1:17">
      <c r="A80" s="127"/>
      <c r="B80" s="137"/>
      <c r="C80" s="137"/>
      <c r="D80" s="137"/>
      <c r="E80" s="114"/>
      <c r="F80" s="114"/>
      <c r="G80" s="114"/>
      <c r="H80" s="114"/>
      <c r="I80" s="118"/>
      <c r="J80" s="118"/>
      <c r="K80" s="118"/>
      <c r="L80" s="119"/>
      <c r="M80" s="114"/>
      <c r="N80" s="115"/>
      <c r="O80" s="114"/>
      <c r="P80" s="116"/>
      <c r="Q80" s="106"/>
    </row>
    <row r="81" spans="1:18">
      <c r="A81" s="135" t="s">
        <v>229</v>
      </c>
      <c r="B81" s="102">
        <f>+B82+B86</f>
        <v>9930219</v>
      </c>
      <c r="C81" s="102">
        <f>+C82+C86</f>
        <v>309732</v>
      </c>
      <c r="D81" s="102">
        <f>+D82+D86</f>
        <v>10239951</v>
      </c>
      <c r="E81" s="102">
        <f t="shared" ref="E81:P81" si="43">+E82+E86</f>
        <v>6857833</v>
      </c>
      <c r="F81" s="102">
        <f t="shared" si="43"/>
        <v>2115891</v>
      </c>
      <c r="G81" s="102">
        <f t="shared" si="43"/>
        <v>1276672</v>
      </c>
      <c r="H81" s="102">
        <f t="shared" si="43"/>
        <v>10250396</v>
      </c>
      <c r="I81" s="45">
        <f t="shared" si="43"/>
        <v>6857832</v>
      </c>
      <c r="J81" s="45">
        <f t="shared" si="43"/>
        <v>2115891</v>
      </c>
      <c r="K81" s="45">
        <f t="shared" si="43"/>
        <v>1237000</v>
      </c>
      <c r="L81" s="103">
        <f t="shared" si="43"/>
        <v>10210723</v>
      </c>
      <c r="M81" s="102">
        <f t="shared" si="43"/>
        <v>1</v>
      </c>
      <c r="N81" s="104">
        <f t="shared" si="43"/>
        <v>0</v>
      </c>
      <c r="O81" s="139">
        <f t="shared" si="43"/>
        <v>39672</v>
      </c>
      <c r="P81" s="140">
        <f t="shared" si="43"/>
        <v>39673</v>
      </c>
      <c r="Q81" s="106">
        <f>+L81/H81</f>
        <v>0.99612961294373403</v>
      </c>
      <c r="R81" s="136"/>
    </row>
    <row r="82" spans="1:18">
      <c r="A82" s="127" t="s">
        <v>15</v>
      </c>
      <c r="B82" s="108">
        <f>SUM(B83:B85)</f>
        <v>9930219</v>
      </c>
      <c r="C82" s="108">
        <f>SUM(C83:C85)</f>
        <v>309732</v>
      </c>
      <c r="D82" s="108">
        <f>SUM(D83:D85)</f>
        <v>10239951</v>
      </c>
      <c r="E82" s="108">
        <f t="shared" ref="E82:P82" si="44">SUM(E83:E85)</f>
        <v>6857833</v>
      </c>
      <c r="F82" s="108">
        <f t="shared" si="44"/>
        <v>2115891</v>
      </c>
      <c r="G82" s="108">
        <f t="shared" si="44"/>
        <v>1276672</v>
      </c>
      <c r="H82" s="108">
        <f t="shared" si="44"/>
        <v>10250396</v>
      </c>
      <c r="I82" s="109">
        <f t="shared" si="44"/>
        <v>6857832</v>
      </c>
      <c r="J82" s="109">
        <f t="shared" si="44"/>
        <v>2115891</v>
      </c>
      <c r="K82" s="109">
        <f t="shared" si="44"/>
        <v>1237000</v>
      </c>
      <c r="L82" s="110">
        <f t="shared" si="44"/>
        <v>10210723</v>
      </c>
      <c r="M82" s="108">
        <f t="shared" si="44"/>
        <v>1</v>
      </c>
      <c r="N82" s="111">
        <f t="shared" si="44"/>
        <v>0</v>
      </c>
      <c r="O82" s="141">
        <f t="shared" si="44"/>
        <v>39672</v>
      </c>
      <c r="P82" s="142">
        <f t="shared" si="44"/>
        <v>39673</v>
      </c>
      <c r="Q82" s="106"/>
    </row>
    <row r="83" spans="1:18">
      <c r="A83" s="113" t="s">
        <v>16</v>
      </c>
      <c r="B83" s="114">
        <v>9373382</v>
      </c>
      <c r="C83" s="114"/>
      <c r="D83" s="114">
        <f>+B83+C83</f>
        <v>9373382</v>
      </c>
      <c r="E83" s="114">
        <v>6020491</v>
      </c>
      <c r="F83" s="114">
        <v>2115891</v>
      </c>
      <c r="G83" s="114">
        <v>1237000</v>
      </c>
      <c r="H83" s="114">
        <f>SUM(E83:G83)</f>
        <v>9373382</v>
      </c>
      <c r="I83" s="43">
        <f>526033+131053+2654328+842658+299163+193685+1373571</f>
        <v>6020491</v>
      </c>
      <c r="J83" s="43">
        <v>2115891</v>
      </c>
      <c r="K83" s="43">
        <f>13045+2236558-1012603</f>
        <v>1237000</v>
      </c>
      <c r="L83" s="78">
        <f>SUM(I83:K83)</f>
        <v>9373382</v>
      </c>
      <c r="M83" s="114">
        <f t="shared" ref="M83:O85" si="45">+E83-I83</f>
        <v>0</v>
      </c>
      <c r="N83" s="115">
        <f t="shared" si="45"/>
        <v>0</v>
      </c>
      <c r="O83" s="143">
        <f t="shared" si="45"/>
        <v>0</v>
      </c>
      <c r="P83" s="144">
        <f>SUM(M83:O83)</f>
        <v>0</v>
      </c>
      <c r="Q83" s="106"/>
    </row>
    <row r="84" spans="1:18">
      <c r="A84" s="113" t="s">
        <v>17</v>
      </c>
      <c r="B84" s="114"/>
      <c r="C84" s="114">
        <f>+H84</f>
        <v>309732</v>
      </c>
      <c r="D84" s="114">
        <f>+B84+C84</f>
        <v>309732</v>
      </c>
      <c r="E84" s="114">
        <v>270060</v>
      </c>
      <c r="F84" s="114"/>
      <c r="G84" s="114">
        <v>39672</v>
      </c>
      <c r="H84" s="114">
        <f>SUM(E84:G84)</f>
        <v>309732</v>
      </c>
      <c r="I84" s="43">
        <f>167429+102630</f>
        <v>270059</v>
      </c>
      <c r="J84" s="43"/>
      <c r="K84" s="43"/>
      <c r="L84" s="78">
        <f>SUM(I84:K84)</f>
        <v>270059</v>
      </c>
      <c r="M84" s="143">
        <f t="shared" si="45"/>
        <v>1</v>
      </c>
      <c r="N84" s="115">
        <f t="shared" si="45"/>
        <v>0</v>
      </c>
      <c r="O84" s="143">
        <f t="shared" si="45"/>
        <v>39672</v>
      </c>
      <c r="P84" s="144">
        <f>SUM(M84:O84)</f>
        <v>39673</v>
      </c>
      <c r="Q84" s="106"/>
    </row>
    <row r="85" spans="1:18">
      <c r="A85" s="113" t="s">
        <v>18</v>
      </c>
      <c r="B85" s="114">
        <v>556837</v>
      </c>
      <c r="C85" s="114"/>
      <c r="D85" s="114">
        <f>+B85+C85</f>
        <v>556837</v>
      </c>
      <c r="E85" s="114">
        <v>567282</v>
      </c>
      <c r="F85" s="114"/>
      <c r="G85" s="114"/>
      <c r="H85" s="114">
        <f>SUM(E85:G85)</f>
        <v>567282</v>
      </c>
      <c r="I85" s="43">
        <v>567282</v>
      </c>
      <c r="J85" s="43"/>
      <c r="K85" s="43"/>
      <c r="L85" s="78">
        <f>SUM(I85:K85)</f>
        <v>567282</v>
      </c>
      <c r="M85" s="114">
        <f t="shared" si="45"/>
        <v>0</v>
      </c>
      <c r="N85" s="115">
        <f t="shared" si="45"/>
        <v>0</v>
      </c>
      <c r="O85" s="143">
        <f t="shared" si="45"/>
        <v>0</v>
      </c>
      <c r="P85" s="144">
        <f>SUM(M85:O85)</f>
        <v>0</v>
      </c>
      <c r="Q85" s="106"/>
    </row>
    <row r="86" spans="1:18">
      <c r="A86" s="113" t="s">
        <v>19</v>
      </c>
      <c r="B86" s="102">
        <f>SUM(B87:B88)</f>
        <v>0</v>
      </c>
      <c r="C86" s="102">
        <f>SUM(C87:C88)</f>
        <v>0</v>
      </c>
      <c r="D86" s="102">
        <f>SUM(D87:D88)</f>
        <v>0</v>
      </c>
      <c r="E86" s="102">
        <f t="shared" ref="E86:P86" si="46">SUM(E87:E88)</f>
        <v>0</v>
      </c>
      <c r="F86" s="102">
        <f t="shared" si="46"/>
        <v>0</v>
      </c>
      <c r="G86" s="102">
        <f t="shared" si="46"/>
        <v>0</v>
      </c>
      <c r="H86" s="102">
        <f t="shared" si="46"/>
        <v>0</v>
      </c>
      <c r="I86" s="45">
        <f t="shared" si="46"/>
        <v>0</v>
      </c>
      <c r="J86" s="45">
        <f t="shared" si="46"/>
        <v>0</v>
      </c>
      <c r="K86" s="45">
        <f t="shared" si="46"/>
        <v>0</v>
      </c>
      <c r="L86" s="103">
        <f t="shared" si="46"/>
        <v>0</v>
      </c>
      <c r="M86" s="102">
        <f t="shared" si="46"/>
        <v>0</v>
      </c>
      <c r="N86" s="104">
        <f t="shared" si="46"/>
        <v>0</v>
      </c>
      <c r="O86" s="102">
        <f t="shared" si="46"/>
        <v>0</v>
      </c>
      <c r="P86" s="105">
        <f t="shared" si="46"/>
        <v>0</v>
      </c>
      <c r="Q86" s="106"/>
    </row>
    <row r="87" spans="1:18" ht="12.75" customHeight="1">
      <c r="A87" s="113" t="s">
        <v>20</v>
      </c>
      <c r="B87" s="114"/>
      <c r="C87" s="114">
        <f>+H87</f>
        <v>0</v>
      </c>
      <c r="D87" s="114">
        <f>+B87+C87</f>
        <v>0</v>
      </c>
      <c r="E87" s="114"/>
      <c r="F87" s="114"/>
      <c r="G87" s="114"/>
      <c r="H87" s="114">
        <f>SUM(E87:G87)</f>
        <v>0</v>
      </c>
      <c r="I87" s="43"/>
      <c r="J87" s="43"/>
      <c r="K87" s="43"/>
      <c r="L87" s="78">
        <f>SUM(I87:K87)</f>
        <v>0</v>
      </c>
      <c r="M87" s="114">
        <f t="shared" ref="M87:O88" si="47">+E87-I87</f>
        <v>0</v>
      </c>
      <c r="N87" s="115">
        <f t="shared" si="47"/>
        <v>0</v>
      </c>
      <c r="O87" s="114">
        <f t="shared" si="47"/>
        <v>0</v>
      </c>
      <c r="P87" s="116">
        <f>SUM(M87:O87)</f>
        <v>0</v>
      </c>
      <c r="Q87" s="106"/>
    </row>
    <row r="88" spans="1:18" ht="12.75" customHeight="1">
      <c r="A88" s="113" t="s">
        <v>21</v>
      </c>
      <c r="B88" s="114"/>
      <c r="C88" s="114"/>
      <c r="D88" s="114">
        <f>+B88+C88</f>
        <v>0</v>
      </c>
      <c r="E88" s="114"/>
      <c r="F88" s="114"/>
      <c r="G88" s="114"/>
      <c r="H88" s="114">
        <f>SUM(E88:G88)</f>
        <v>0</v>
      </c>
      <c r="I88" s="43"/>
      <c r="J88" s="43"/>
      <c r="K88" s="43"/>
      <c r="L88" s="78">
        <f>SUM(I88:K88)</f>
        <v>0</v>
      </c>
      <c r="M88" s="114">
        <f t="shared" si="47"/>
        <v>0</v>
      </c>
      <c r="N88" s="115">
        <f t="shared" si="47"/>
        <v>0</v>
      </c>
      <c r="O88" s="114">
        <f t="shared" si="47"/>
        <v>0</v>
      </c>
      <c r="P88" s="116">
        <f>SUM(M88:O88)</f>
        <v>0</v>
      </c>
      <c r="Q88" s="106"/>
    </row>
    <row r="89" spans="1:18">
      <c r="A89" s="225"/>
      <c r="B89" s="226"/>
      <c r="C89" s="226"/>
      <c r="D89" s="226"/>
      <c r="E89" s="102"/>
      <c r="F89" s="102"/>
      <c r="G89" s="102"/>
      <c r="H89" s="102"/>
      <c r="I89" s="74"/>
      <c r="J89" s="74"/>
      <c r="K89" s="74"/>
      <c r="L89" s="138"/>
      <c r="M89" s="102"/>
      <c r="N89" s="104"/>
      <c r="O89" s="102"/>
      <c r="P89" s="105"/>
      <c r="Q89" s="227"/>
    </row>
    <row r="90" spans="1:18">
      <c r="A90" s="145" t="s">
        <v>230</v>
      </c>
      <c r="B90" s="102">
        <f>+B91+B95</f>
        <v>1838118</v>
      </c>
      <c r="C90" s="102">
        <f>+C91+C95</f>
        <v>321977</v>
      </c>
      <c r="D90" s="102">
        <f>+D91+D95</f>
        <v>2160095</v>
      </c>
      <c r="E90" s="102">
        <f t="shared" ref="E90:P90" si="48">+E91+E95</f>
        <v>1619208</v>
      </c>
      <c r="F90" s="102">
        <f t="shared" si="48"/>
        <v>420673</v>
      </c>
      <c r="G90" s="102">
        <f t="shared" si="48"/>
        <v>227847</v>
      </c>
      <c r="H90" s="102">
        <f t="shared" si="48"/>
        <v>2267728</v>
      </c>
      <c r="I90" s="45">
        <f t="shared" si="48"/>
        <v>1599457</v>
      </c>
      <c r="J90" s="45">
        <f t="shared" si="48"/>
        <v>363696</v>
      </c>
      <c r="K90" s="45">
        <f t="shared" si="48"/>
        <v>120208</v>
      </c>
      <c r="L90" s="103">
        <f t="shared" si="48"/>
        <v>2083361</v>
      </c>
      <c r="M90" s="102">
        <f t="shared" si="48"/>
        <v>19751</v>
      </c>
      <c r="N90" s="104">
        <f t="shared" si="48"/>
        <v>56977</v>
      </c>
      <c r="O90" s="102">
        <f t="shared" si="48"/>
        <v>107639</v>
      </c>
      <c r="P90" s="105">
        <f t="shared" si="48"/>
        <v>184367</v>
      </c>
      <c r="Q90" s="106">
        <f>+L90/H90</f>
        <v>0.91869968532381308</v>
      </c>
    </row>
    <row r="91" spans="1:18">
      <c r="A91" s="127" t="s">
        <v>15</v>
      </c>
      <c r="B91" s="108">
        <f>SUM(B92:B94)</f>
        <v>1838118</v>
      </c>
      <c r="C91" s="108">
        <f>SUM(C92:C94)</f>
        <v>321962</v>
      </c>
      <c r="D91" s="108">
        <f>SUM(D92:D94)</f>
        <v>2160080</v>
      </c>
      <c r="E91" s="108">
        <f t="shared" ref="E91:P91" si="49">SUM(E92:E94)</f>
        <v>1619208</v>
      </c>
      <c r="F91" s="108">
        <f t="shared" si="49"/>
        <v>416895</v>
      </c>
      <c r="G91" s="108">
        <f t="shared" si="49"/>
        <v>227847</v>
      </c>
      <c r="H91" s="108">
        <f t="shared" si="49"/>
        <v>2263950</v>
      </c>
      <c r="I91" s="109">
        <f t="shared" si="49"/>
        <v>1599457</v>
      </c>
      <c r="J91" s="109">
        <f t="shared" si="49"/>
        <v>361455</v>
      </c>
      <c r="K91" s="109">
        <f t="shared" si="49"/>
        <v>120208</v>
      </c>
      <c r="L91" s="110">
        <f t="shared" si="49"/>
        <v>2081120</v>
      </c>
      <c r="M91" s="108">
        <f t="shared" si="49"/>
        <v>19751</v>
      </c>
      <c r="N91" s="111">
        <f t="shared" si="49"/>
        <v>55440</v>
      </c>
      <c r="O91" s="108">
        <f t="shared" si="49"/>
        <v>107639</v>
      </c>
      <c r="P91" s="112">
        <f t="shared" si="49"/>
        <v>182830</v>
      </c>
      <c r="Q91" s="106"/>
    </row>
    <row r="92" spans="1:18">
      <c r="A92" s="113" t="s">
        <v>16</v>
      </c>
      <c r="B92" s="114">
        <f t="shared" ref="B92:G94" si="50">+B101+B110+B119+B128+B137+B146</f>
        <v>1719069</v>
      </c>
      <c r="C92" s="114">
        <f t="shared" si="50"/>
        <v>118643</v>
      </c>
      <c r="D92" s="114">
        <f t="shared" si="50"/>
        <v>1837712</v>
      </c>
      <c r="E92" s="114">
        <f t="shared" si="50"/>
        <v>1290349</v>
      </c>
      <c r="F92" s="114">
        <f t="shared" si="50"/>
        <v>416895</v>
      </c>
      <c r="G92" s="114">
        <f t="shared" si="50"/>
        <v>227847</v>
      </c>
      <c r="H92" s="114">
        <f>SUM(E92:G92)</f>
        <v>1935091</v>
      </c>
      <c r="I92" s="43">
        <f t="shared" ref="I92:K94" si="51">+I101+I110+I119+I128+I137+I146</f>
        <v>1271546</v>
      </c>
      <c r="J92" s="43">
        <f t="shared" si="51"/>
        <v>361455</v>
      </c>
      <c r="K92" s="43">
        <f t="shared" si="51"/>
        <v>120208</v>
      </c>
      <c r="L92" s="78">
        <f>SUM(I92:K92)</f>
        <v>1753209</v>
      </c>
      <c r="M92" s="114">
        <f t="shared" ref="M92:O94" si="52">+E92-I92</f>
        <v>18803</v>
      </c>
      <c r="N92" s="115">
        <f t="shared" si="52"/>
        <v>55440</v>
      </c>
      <c r="O92" s="114">
        <f t="shared" si="52"/>
        <v>107639</v>
      </c>
      <c r="P92" s="116">
        <f>SUM(M92:O92)</f>
        <v>181882</v>
      </c>
      <c r="Q92" s="106"/>
    </row>
    <row r="93" spans="1:18">
      <c r="A93" s="113" t="s">
        <v>17</v>
      </c>
      <c r="B93" s="114">
        <f t="shared" si="50"/>
        <v>0</v>
      </c>
      <c r="C93" s="114">
        <f t="shared" si="50"/>
        <v>203319</v>
      </c>
      <c r="D93" s="114">
        <f t="shared" si="50"/>
        <v>203319</v>
      </c>
      <c r="E93" s="114">
        <f t="shared" si="50"/>
        <v>203319</v>
      </c>
      <c r="F93" s="114">
        <f t="shared" si="50"/>
        <v>0</v>
      </c>
      <c r="G93" s="114">
        <f t="shared" si="50"/>
        <v>0</v>
      </c>
      <c r="H93" s="114">
        <f>SUM(E93:G93)</f>
        <v>203319</v>
      </c>
      <c r="I93" s="43">
        <f t="shared" si="51"/>
        <v>203203</v>
      </c>
      <c r="J93" s="43">
        <f t="shared" si="51"/>
        <v>0</v>
      </c>
      <c r="K93" s="43">
        <f t="shared" si="51"/>
        <v>0</v>
      </c>
      <c r="L93" s="78">
        <f>SUM(I93:K93)</f>
        <v>203203</v>
      </c>
      <c r="M93" s="114">
        <f t="shared" si="52"/>
        <v>116</v>
      </c>
      <c r="N93" s="115">
        <f t="shared" si="52"/>
        <v>0</v>
      </c>
      <c r="O93" s="114">
        <f t="shared" si="52"/>
        <v>0</v>
      </c>
      <c r="P93" s="116">
        <f>SUM(M93:O93)</f>
        <v>116</v>
      </c>
      <c r="Q93" s="106"/>
    </row>
    <row r="94" spans="1:18">
      <c r="A94" s="113" t="s">
        <v>18</v>
      </c>
      <c r="B94" s="114">
        <f t="shared" si="50"/>
        <v>119049</v>
      </c>
      <c r="C94" s="114">
        <f t="shared" si="50"/>
        <v>0</v>
      </c>
      <c r="D94" s="114">
        <f t="shared" si="50"/>
        <v>119049</v>
      </c>
      <c r="E94" s="114">
        <f t="shared" si="50"/>
        <v>125540</v>
      </c>
      <c r="F94" s="114">
        <f t="shared" si="50"/>
        <v>0</v>
      </c>
      <c r="G94" s="114">
        <f t="shared" si="50"/>
        <v>0</v>
      </c>
      <c r="H94" s="114">
        <f>SUM(E94:G94)</f>
        <v>125540</v>
      </c>
      <c r="I94" s="43">
        <f t="shared" si="51"/>
        <v>124708</v>
      </c>
      <c r="J94" s="43">
        <f t="shared" si="51"/>
        <v>0</v>
      </c>
      <c r="K94" s="43">
        <f t="shared" si="51"/>
        <v>0</v>
      </c>
      <c r="L94" s="78">
        <f>SUM(I94:K94)</f>
        <v>124708</v>
      </c>
      <c r="M94" s="114">
        <f t="shared" si="52"/>
        <v>832</v>
      </c>
      <c r="N94" s="115">
        <f t="shared" si="52"/>
        <v>0</v>
      </c>
      <c r="O94" s="114">
        <f t="shared" si="52"/>
        <v>0</v>
      </c>
      <c r="P94" s="116">
        <f>SUM(M94:O94)</f>
        <v>832</v>
      </c>
      <c r="Q94" s="106"/>
    </row>
    <row r="95" spans="1:18">
      <c r="A95" s="113" t="s">
        <v>19</v>
      </c>
      <c r="B95" s="102">
        <f>SUM(B96:B97)</f>
        <v>0</v>
      </c>
      <c r="C95" s="102">
        <f>SUM(C96:C97)</f>
        <v>15</v>
      </c>
      <c r="D95" s="102">
        <f>SUM(D96:D97)</f>
        <v>15</v>
      </c>
      <c r="E95" s="102">
        <f t="shared" ref="E95:P95" si="53">SUM(E96:E97)</f>
        <v>0</v>
      </c>
      <c r="F95" s="102">
        <f t="shared" si="53"/>
        <v>3778</v>
      </c>
      <c r="G95" s="102">
        <f t="shared" si="53"/>
        <v>0</v>
      </c>
      <c r="H95" s="102">
        <f t="shared" si="53"/>
        <v>3778</v>
      </c>
      <c r="I95" s="45">
        <f t="shared" si="53"/>
        <v>0</v>
      </c>
      <c r="J95" s="45">
        <f t="shared" si="53"/>
        <v>2241</v>
      </c>
      <c r="K95" s="45">
        <f t="shared" si="53"/>
        <v>0</v>
      </c>
      <c r="L95" s="103">
        <f t="shared" si="53"/>
        <v>2241</v>
      </c>
      <c r="M95" s="102">
        <f t="shared" si="53"/>
        <v>0</v>
      </c>
      <c r="N95" s="104">
        <f t="shared" si="53"/>
        <v>1537</v>
      </c>
      <c r="O95" s="102">
        <f t="shared" si="53"/>
        <v>0</v>
      </c>
      <c r="P95" s="105">
        <f t="shared" si="53"/>
        <v>1537</v>
      </c>
      <c r="Q95" s="106"/>
    </row>
    <row r="96" spans="1:18" ht="12.75" customHeight="1">
      <c r="A96" s="113" t="s">
        <v>20</v>
      </c>
      <c r="B96" s="114">
        <f t="shared" ref="B96:G97" si="54">+B105+B114+B123+B132+B141+B150</f>
        <v>0</v>
      </c>
      <c r="C96" s="114">
        <f t="shared" si="54"/>
        <v>15</v>
      </c>
      <c r="D96" s="114">
        <f t="shared" si="54"/>
        <v>15</v>
      </c>
      <c r="E96" s="114">
        <f t="shared" si="54"/>
        <v>0</v>
      </c>
      <c r="F96" s="114">
        <f t="shared" si="54"/>
        <v>3778</v>
      </c>
      <c r="G96" s="114">
        <f t="shared" si="54"/>
        <v>0</v>
      </c>
      <c r="H96" s="114">
        <f>SUM(E96:G96)</f>
        <v>3778</v>
      </c>
      <c r="I96" s="43">
        <f t="shared" ref="I96:K97" si="55">+I105+I114+I123+I132+I141+I150</f>
        <v>0</v>
      </c>
      <c r="J96" s="43">
        <f t="shared" si="55"/>
        <v>2241</v>
      </c>
      <c r="K96" s="43">
        <f t="shared" si="55"/>
        <v>0</v>
      </c>
      <c r="L96" s="78">
        <f>SUM(I96:K96)</f>
        <v>2241</v>
      </c>
      <c r="M96" s="114">
        <f t="shared" ref="M96:O97" si="56">+E96-I96</f>
        <v>0</v>
      </c>
      <c r="N96" s="115">
        <f t="shared" si="56"/>
        <v>1537</v>
      </c>
      <c r="O96" s="114">
        <f t="shared" si="56"/>
        <v>0</v>
      </c>
      <c r="P96" s="116">
        <f>SUM(M96:O96)</f>
        <v>1537</v>
      </c>
      <c r="Q96" s="106"/>
    </row>
    <row r="97" spans="1:17" ht="12.75" customHeight="1">
      <c r="A97" s="113" t="s">
        <v>21</v>
      </c>
      <c r="B97" s="114">
        <f t="shared" si="54"/>
        <v>0</v>
      </c>
      <c r="C97" s="114">
        <f t="shared" si="54"/>
        <v>0</v>
      </c>
      <c r="D97" s="114">
        <f t="shared" si="54"/>
        <v>0</v>
      </c>
      <c r="E97" s="114">
        <f t="shared" si="54"/>
        <v>0</v>
      </c>
      <c r="F97" s="114">
        <f t="shared" si="54"/>
        <v>0</v>
      </c>
      <c r="G97" s="114">
        <f t="shared" si="54"/>
        <v>0</v>
      </c>
      <c r="H97" s="114">
        <f>SUM(E97:G97)</f>
        <v>0</v>
      </c>
      <c r="I97" s="43">
        <f t="shared" si="55"/>
        <v>0</v>
      </c>
      <c r="J97" s="43">
        <f t="shared" si="55"/>
        <v>0</v>
      </c>
      <c r="K97" s="43">
        <f t="shared" si="55"/>
        <v>0</v>
      </c>
      <c r="L97" s="78">
        <f>SUM(I97:K97)</f>
        <v>0</v>
      </c>
      <c r="M97" s="114">
        <f t="shared" si="56"/>
        <v>0</v>
      </c>
      <c r="N97" s="115">
        <f t="shared" si="56"/>
        <v>0</v>
      </c>
      <c r="O97" s="114">
        <f t="shared" si="56"/>
        <v>0</v>
      </c>
      <c r="P97" s="116">
        <f>SUM(M97:O97)</f>
        <v>0</v>
      </c>
      <c r="Q97" s="106"/>
    </row>
    <row r="98" spans="1:17">
      <c r="A98" s="145"/>
      <c r="B98" s="146"/>
      <c r="C98" s="146"/>
      <c r="D98" s="146"/>
      <c r="E98" s="114"/>
      <c r="F98" s="114"/>
      <c r="G98" s="114"/>
      <c r="H98" s="114"/>
      <c r="I98" s="43"/>
      <c r="J98" s="43"/>
      <c r="K98" s="43"/>
      <c r="L98" s="78"/>
      <c r="M98" s="114"/>
      <c r="N98" s="115"/>
      <c r="O98" s="114"/>
      <c r="P98" s="116"/>
      <c r="Q98" s="106"/>
    </row>
    <row r="99" spans="1:17">
      <c r="A99" s="135" t="s">
        <v>231</v>
      </c>
      <c r="B99" s="102">
        <f>+B100+B104</f>
        <v>592663</v>
      </c>
      <c r="C99" s="102">
        <f>+C100+C104</f>
        <v>74805</v>
      </c>
      <c r="D99" s="102">
        <f>+D100+D104</f>
        <v>667468</v>
      </c>
      <c r="E99" s="102">
        <f t="shared" ref="E99:P99" si="57">+E100+E104</f>
        <v>536122</v>
      </c>
      <c r="F99" s="102">
        <f t="shared" si="57"/>
        <v>135333</v>
      </c>
      <c r="G99" s="102">
        <f t="shared" si="57"/>
        <v>60020</v>
      </c>
      <c r="H99" s="102">
        <f t="shared" si="57"/>
        <v>731475</v>
      </c>
      <c r="I99" s="45">
        <f t="shared" si="57"/>
        <v>517674</v>
      </c>
      <c r="J99" s="45">
        <f t="shared" si="57"/>
        <v>124456</v>
      </c>
      <c r="K99" s="45">
        <f t="shared" si="57"/>
        <v>0</v>
      </c>
      <c r="L99" s="103">
        <f t="shared" si="57"/>
        <v>642130</v>
      </c>
      <c r="M99" s="102">
        <f t="shared" si="57"/>
        <v>18448</v>
      </c>
      <c r="N99" s="104">
        <f t="shared" si="57"/>
        <v>10877</v>
      </c>
      <c r="O99" s="102">
        <f t="shared" si="57"/>
        <v>60020</v>
      </c>
      <c r="P99" s="105">
        <f t="shared" si="57"/>
        <v>89345</v>
      </c>
      <c r="Q99" s="106">
        <f>+L99/H99</f>
        <v>0.87785638606924365</v>
      </c>
    </row>
    <row r="100" spans="1:17">
      <c r="A100" s="127" t="s">
        <v>15</v>
      </c>
      <c r="B100" s="108">
        <f>SUM(B101:B103)</f>
        <v>592663</v>
      </c>
      <c r="C100" s="108">
        <f>SUM(C101:C103)</f>
        <v>74805</v>
      </c>
      <c r="D100" s="108">
        <f>SUM(D101:D103)</f>
        <v>667468</v>
      </c>
      <c r="E100" s="108">
        <f t="shared" ref="E100:P100" si="58">SUM(E101:E103)</f>
        <v>536122</v>
      </c>
      <c r="F100" s="108">
        <f t="shared" si="58"/>
        <v>135333</v>
      </c>
      <c r="G100" s="108">
        <f t="shared" si="58"/>
        <v>60020</v>
      </c>
      <c r="H100" s="108">
        <f t="shared" si="58"/>
        <v>731475</v>
      </c>
      <c r="I100" s="109">
        <f>SUM(I101:I103)</f>
        <v>517674</v>
      </c>
      <c r="J100" s="109">
        <f>SUM(J101:J103)</f>
        <v>124456</v>
      </c>
      <c r="K100" s="109">
        <f>SUM(K101:K103)</f>
        <v>0</v>
      </c>
      <c r="L100" s="110">
        <f>SUM(L101:L103)</f>
        <v>642130</v>
      </c>
      <c r="M100" s="108">
        <f t="shared" si="58"/>
        <v>18448</v>
      </c>
      <c r="N100" s="111">
        <f t="shared" si="58"/>
        <v>10877</v>
      </c>
      <c r="O100" s="108">
        <f t="shared" si="58"/>
        <v>60020</v>
      </c>
      <c r="P100" s="112">
        <f t="shared" si="58"/>
        <v>89345</v>
      </c>
      <c r="Q100" s="106"/>
    </row>
    <row r="101" spans="1:17">
      <c r="A101" s="113" t="s">
        <v>16</v>
      </c>
      <c r="B101" s="114">
        <v>552511</v>
      </c>
      <c r="C101" s="114"/>
      <c r="D101" s="114">
        <f>+B101+C101</f>
        <v>552511</v>
      </c>
      <c r="E101" s="114">
        <v>417178</v>
      </c>
      <c r="F101" s="114">
        <v>135333</v>
      </c>
      <c r="G101" s="114">
        <v>60020</v>
      </c>
      <c r="H101" s="114">
        <f>SUM(E101:G101)</f>
        <v>612531</v>
      </c>
      <c r="I101" s="43">
        <v>399038</v>
      </c>
      <c r="J101" s="43">
        <v>124456</v>
      </c>
      <c r="K101" s="43"/>
      <c r="L101" s="78">
        <f>SUM(I101:K101)</f>
        <v>523494</v>
      </c>
      <c r="M101" s="114">
        <f t="shared" ref="M101:O103" si="59">+E101-I101</f>
        <v>18140</v>
      </c>
      <c r="N101" s="115">
        <f t="shared" si="59"/>
        <v>10877</v>
      </c>
      <c r="O101" s="114">
        <f t="shared" si="59"/>
        <v>60020</v>
      </c>
      <c r="P101" s="116">
        <f>SUM(M101:O101)</f>
        <v>89037</v>
      </c>
      <c r="Q101" s="106"/>
    </row>
    <row r="102" spans="1:17">
      <c r="A102" s="113" t="s">
        <v>17</v>
      </c>
      <c r="B102" s="114"/>
      <c r="C102" s="114">
        <f>+H102</f>
        <v>74805</v>
      </c>
      <c r="D102" s="114">
        <f>+B102+C102</f>
        <v>74805</v>
      </c>
      <c r="E102" s="114">
        <v>74805</v>
      </c>
      <c r="F102" s="114"/>
      <c r="G102" s="114"/>
      <c r="H102" s="114">
        <f>SUM(E102:G102)</f>
        <v>74805</v>
      </c>
      <c r="I102" s="43">
        <v>74692</v>
      </c>
      <c r="J102" s="43"/>
      <c r="K102" s="43"/>
      <c r="L102" s="78">
        <f>SUM(I102:K102)</f>
        <v>74692</v>
      </c>
      <c r="M102" s="114">
        <f t="shared" si="59"/>
        <v>113</v>
      </c>
      <c r="N102" s="115">
        <f t="shared" si="59"/>
        <v>0</v>
      </c>
      <c r="O102" s="114">
        <f t="shared" si="59"/>
        <v>0</v>
      </c>
      <c r="P102" s="116">
        <f>SUM(M102:O102)</f>
        <v>113</v>
      </c>
      <c r="Q102" s="106"/>
    </row>
    <row r="103" spans="1:17">
      <c r="A103" s="113" t="s">
        <v>18</v>
      </c>
      <c r="B103" s="114">
        <v>40152</v>
      </c>
      <c r="C103" s="114"/>
      <c r="D103" s="114">
        <f>+B103+C103</f>
        <v>40152</v>
      </c>
      <c r="E103" s="114">
        <v>44139</v>
      </c>
      <c r="F103" s="114"/>
      <c r="G103" s="114"/>
      <c r="H103" s="114">
        <f>SUM(E103:G103)</f>
        <v>44139</v>
      </c>
      <c r="I103" s="43">
        <v>43944</v>
      </c>
      <c r="J103" s="43"/>
      <c r="K103" s="43"/>
      <c r="L103" s="78">
        <f>SUM(I103:K103)</f>
        <v>43944</v>
      </c>
      <c r="M103" s="114">
        <f t="shared" si="59"/>
        <v>195</v>
      </c>
      <c r="N103" s="115">
        <f t="shared" si="59"/>
        <v>0</v>
      </c>
      <c r="O103" s="114">
        <f t="shared" si="59"/>
        <v>0</v>
      </c>
      <c r="P103" s="116">
        <f>SUM(M103:O103)</f>
        <v>195</v>
      </c>
      <c r="Q103" s="106"/>
    </row>
    <row r="104" spans="1:17">
      <c r="A104" s="113" t="s">
        <v>19</v>
      </c>
      <c r="B104" s="102">
        <f>SUM(B105:B106)</f>
        <v>0</v>
      </c>
      <c r="C104" s="102">
        <f>SUM(C105:C106)</f>
        <v>0</v>
      </c>
      <c r="D104" s="102">
        <f>SUM(D105:D106)</f>
        <v>0</v>
      </c>
      <c r="E104" s="102">
        <f t="shared" ref="E104:P104" si="60">SUM(E105:E106)</f>
        <v>0</v>
      </c>
      <c r="F104" s="102">
        <f t="shared" si="60"/>
        <v>0</v>
      </c>
      <c r="G104" s="102">
        <f t="shared" si="60"/>
        <v>0</v>
      </c>
      <c r="H104" s="102">
        <f t="shared" si="60"/>
        <v>0</v>
      </c>
      <c r="I104" s="45">
        <f>SUM(I105:I106)</f>
        <v>0</v>
      </c>
      <c r="J104" s="45">
        <f>SUM(J105:J106)</f>
        <v>0</v>
      </c>
      <c r="K104" s="45">
        <f>SUM(K105:K106)</f>
        <v>0</v>
      </c>
      <c r="L104" s="103">
        <f>SUM(L105:L106)</f>
        <v>0</v>
      </c>
      <c r="M104" s="102">
        <f t="shared" si="60"/>
        <v>0</v>
      </c>
      <c r="N104" s="104">
        <f t="shared" si="60"/>
        <v>0</v>
      </c>
      <c r="O104" s="102">
        <f t="shared" si="60"/>
        <v>0</v>
      </c>
      <c r="P104" s="105">
        <f t="shared" si="60"/>
        <v>0</v>
      </c>
      <c r="Q104" s="106"/>
    </row>
    <row r="105" spans="1:17" ht="12.75" customHeight="1">
      <c r="A105" s="113" t="s">
        <v>20</v>
      </c>
      <c r="B105" s="114"/>
      <c r="C105" s="114">
        <f>+H105</f>
        <v>0</v>
      </c>
      <c r="D105" s="114">
        <f>+B105+C105</f>
        <v>0</v>
      </c>
      <c r="E105" s="114"/>
      <c r="F105" s="114"/>
      <c r="G105" s="114"/>
      <c r="H105" s="114">
        <f>SUM(E105:G105)</f>
        <v>0</v>
      </c>
      <c r="I105" s="43"/>
      <c r="J105" s="43"/>
      <c r="K105" s="43"/>
      <c r="L105" s="78">
        <f>SUM(I105:K105)</f>
        <v>0</v>
      </c>
      <c r="M105" s="114">
        <f t="shared" ref="M105:O106" si="61">+E105-I105</f>
        <v>0</v>
      </c>
      <c r="N105" s="115">
        <f t="shared" si="61"/>
        <v>0</v>
      </c>
      <c r="O105" s="114">
        <f t="shared" si="61"/>
        <v>0</v>
      </c>
      <c r="P105" s="116">
        <f>SUM(M105:O105)</f>
        <v>0</v>
      </c>
      <c r="Q105" s="106"/>
    </row>
    <row r="106" spans="1:17" ht="12.75" customHeight="1">
      <c r="A106" s="113" t="s">
        <v>21</v>
      </c>
      <c r="B106" s="114"/>
      <c r="C106" s="114"/>
      <c r="D106" s="114">
        <f>+B106+C106</f>
        <v>0</v>
      </c>
      <c r="E106" s="114"/>
      <c r="F106" s="114"/>
      <c r="G106" s="114"/>
      <c r="H106" s="114">
        <f>SUM(E106:G106)</f>
        <v>0</v>
      </c>
      <c r="I106" s="43"/>
      <c r="J106" s="43"/>
      <c r="K106" s="43"/>
      <c r="L106" s="78">
        <f>SUM(I106:K106)</f>
        <v>0</v>
      </c>
      <c r="M106" s="114">
        <f t="shared" si="61"/>
        <v>0</v>
      </c>
      <c r="N106" s="115">
        <f t="shared" si="61"/>
        <v>0</v>
      </c>
      <c r="O106" s="114">
        <f t="shared" si="61"/>
        <v>0</v>
      </c>
      <c r="P106" s="116">
        <f>SUM(M106:O106)</f>
        <v>0</v>
      </c>
      <c r="Q106" s="106"/>
    </row>
    <row r="107" spans="1:17">
      <c r="A107" s="127"/>
      <c r="B107" s="137"/>
      <c r="C107" s="137"/>
      <c r="D107" s="137"/>
      <c r="E107" s="114"/>
      <c r="F107" s="114"/>
      <c r="G107" s="114"/>
      <c r="H107" s="114"/>
      <c r="I107" s="43"/>
      <c r="J107" s="43"/>
      <c r="K107" s="43"/>
      <c r="L107" s="78"/>
      <c r="M107" s="114"/>
      <c r="N107" s="115"/>
      <c r="O107" s="114"/>
      <c r="P107" s="116"/>
      <c r="Q107" s="106"/>
    </row>
    <row r="108" spans="1:17">
      <c r="A108" s="135" t="s">
        <v>232</v>
      </c>
      <c r="B108" s="102">
        <f>+B109+B113</f>
        <v>143853</v>
      </c>
      <c r="C108" s="102">
        <f>+C109+C113</f>
        <v>14867</v>
      </c>
      <c r="D108" s="102">
        <f>+D109+D113</f>
        <v>158720</v>
      </c>
      <c r="E108" s="102">
        <f t="shared" ref="E108:P108" si="62">+E109+E113</f>
        <v>130647</v>
      </c>
      <c r="F108" s="102">
        <f t="shared" si="62"/>
        <v>25238</v>
      </c>
      <c r="G108" s="102">
        <f t="shared" si="62"/>
        <v>17226</v>
      </c>
      <c r="H108" s="102">
        <f t="shared" si="62"/>
        <v>173111</v>
      </c>
      <c r="I108" s="45">
        <f t="shared" si="62"/>
        <v>130543</v>
      </c>
      <c r="J108" s="45">
        <f t="shared" si="62"/>
        <v>18248</v>
      </c>
      <c r="K108" s="45">
        <f t="shared" si="62"/>
        <v>13839</v>
      </c>
      <c r="L108" s="103">
        <f t="shared" si="62"/>
        <v>162630</v>
      </c>
      <c r="M108" s="102">
        <f t="shared" si="62"/>
        <v>104</v>
      </c>
      <c r="N108" s="104">
        <f t="shared" si="62"/>
        <v>6990</v>
      </c>
      <c r="O108" s="102">
        <f t="shared" si="62"/>
        <v>3387</v>
      </c>
      <c r="P108" s="105">
        <f t="shared" si="62"/>
        <v>10481</v>
      </c>
      <c r="Q108" s="106">
        <f>+L108/H108</f>
        <v>0.93945503174263911</v>
      </c>
    </row>
    <row r="109" spans="1:17">
      <c r="A109" s="127" t="s">
        <v>15</v>
      </c>
      <c r="B109" s="108">
        <f>SUM(B110:B112)</f>
        <v>143853</v>
      </c>
      <c r="C109" s="108">
        <f>SUM(C110:C112)</f>
        <v>14867</v>
      </c>
      <c r="D109" s="108">
        <f>SUM(D110:D112)</f>
        <v>158720</v>
      </c>
      <c r="E109" s="108">
        <f t="shared" ref="E109:P109" si="63">SUM(E110:E112)</f>
        <v>130647</v>
      </c>
      <c r="F109" s="108">
        <f t="shared" si="63"/>
        <v>25238</v>
      </c>
      <c r="G109" s="108">
        <f t="shared" si="63"/>
        <v>17226</v>
      </c>
      <c r="H109" s="108">
        <f t="shared" si="63"/>
        <v>173111</v>
      </c>
      <c r="I109" s="109">
        <f>SUM(I110:I112)</f>
        <v>130543</v>
      </c>
      <c r="J109" s="109">
        <f>SUM(J110:J112)</f>
        <v>18248</v>
      </c>
      <c r="K109" s="109">
        <f>SUM(K110:K112)</f>
        <v>13839</v>
      </c>
      <c r="L109" s="110">
        <f>SUM(L110:L112)</f>
        <v>162630</v>
      </c>
      <c r="M109" s="108">
        <f t="shared" si="63"/>
        <v>104</v>
      </c>
      <c r="N109" s="111">
        <f t="shared" si="63"/>
        <v>6990</v>
      </c>
      <c r="O109" s="108">
        <f t="shared" si="63"/>
        <v>3387</v>
      </c>
      <c r="P109" s="112">
        <f t="shared" si="63"/>
        <v>10481</v>
      </c>
      <c r="Q109" s="106"/>
    </row>
    <row r="110" spans="1:17">
      <c r="A110" s="113" t="s">
        <v>16</v>
      </c>
      <c r="B110" s="114">
        <v>134476</v>
      </c>
      <c r="C110" s="114"/>
      <c r="D110" s="114">
        <f>+B110+C110</f>
        <v>134476</v>
      </c>
      <c r="E110" s="114">
        <v>106013</v>
      </c>
      <c r="F110" s="114">
        <v>25238</v>
      </c>
      <c r="G110" s="114">
        <v>17226</v>
      </c>
      <c r="H110" s="114">
        <f>SUM(E110:G110)</f>
        <v>148477</v>
      </c>
      <c r="I110" s="43">
        <f>105544+365</f>
        <v>105909</v>
      </c>
      <c r="J110" s="43">
        <v>18248</v>
      </c>
      <c r="K110" s="43">
        <v>13839</v>
      </c>
      <c r="L110" s="78">
        <f>SUM(I110:K110)</f>
        <v>137996</v>
      </c>
      <c r="M110" s="114">
        <f t="shared" ref="M110:O112" si="64">+E110-I110</f>
        <v>104</v>
      </c>
      <c r="N110" s="115">
        <f t="shared" si="64"/>
        <v>6990</v>
      </c>
      <c r="O110" s="114">
        <f t="shared" si="64"/>
        <v>3387</v>
      </c>
      <c r="P110" s="116">
        <f>SUM(M110:O110)</f>
        <v>10481</v>
      </c>
      <c r="Q110" s="106"/>
    </row>
    <row r="111" spans="1:17">
      <c r="A111" s="113" t="s">
        <v>17</v>
      </c>
      <c r="B111" s="114"/>
      <c r="C111" s="114">
        <f>+H111</f>
        <v>14867</v>
      </c>
      <c r="D111" s="114">
        <f>+B111+C111</f>
        <v>14867</v>
      </c>
      <c r="E111" s="114">
        <v>14867</v>
      </c>
      <c r="F111" s="114"/>
      <c r="G111" s="114"/>
      <c r="H111" s="114">
        <f>SUM(E111:G111)</f>
        <v>14867</v>
      </c>
      <c r="I111" s="43">
        <f>15742-875</f>
        <v>14867</v>
      </c>
      <c r="J111" s="43"/>
      <c r="K111" s="43"/>
      <c r="L111" s="78">
        <f>SUM(I111:K111)</f>
        <v>14867</v>
      </c>
      <c r="M111" s="114">
        <f t="shared" si="64"/>
        <v>0</v>
      </c>
      <c r="N111" s="115">
        <f t="shared" si="64"/>
        <v>0</v>
      </c>
      <c r="O111" s="114">
        <f t="shared" si="64"/>
        <v>0</v>
      </c>
      <c r="P111" s="116">
        <f>SUM(M111:O111)</f>
        <v>0</v>
      </c>
      <c r="Q111" s="106"/>
    </row>
    <row r="112" spans="1:17">
      <c r="A112" s="113" t="s">
        <v>18</v>
      </c>
      <c r="B112" s="114">
        <v>9377</v>
      </c>
      <c r="C112" s="114"/>
      <c r="D112" s="114">
        <f>+B112+C112</f>
        <v>9377</v>
      </c>
      <c r="E112" s="114">
        <v>9767</v>
      </c>
      <c r="F112" s="114"/>
      <c r="G112" s="114"/>
      <c r="H112" s="114">
        <f>SUM(E112:G112)</f>
        <v>9767</v>
      </c>
      <c r="I112" s="43">
        <f>9257+510</f>
        <v>9767</v>
      </c>
      <c r="J112" s="43"/>
      <c r="K112" s="43"/>
      <c r="L112" s="78">
        <f>SUM(I112:K112)</f>
        <v>9767</v>
      </c>
      <c r="M112" s="114">
        <f t="shared" si="64"/>
        <v>0</v>
      </c>
      <c r="N112" s="115">
        <f t="shared" si="64"/>
        <v>0</v>
      </c>
      <c r="O112" s="114">
        <f t="shared" si="64"/>
        <v>0</v>
      </c>
      <c r="P112" s="116">
        <f>SUM(M112:O112)</f>
        <v>0</v>
      </c>
      <c r="Q112" s="106"/>
    </row>
    <row r="113" spans="1:17">
      <c r="A113" s="113" t="s">
        <v>19</v>
      </c>
      <c r="B113" s="102">
        <f>SUM(B114:B115)</f>
        <v>0</v>
      </c>
      <c r="C113" s="102">
        <f>SUM(C114:C115)</f>
        <v>0</v>
      </c>
      <c r="D113" s="102">
        <f>SUM(D114:D115)</f>
        <v>0</v>
      </c>
      <c r="E113" s="102">
        <f t="shared" ref="E113:P113" si="65">SUM(E114:E115)</f>
        <v>0</v>
      </c>
      <c r="F113" s="102">
        <f t="shared" si="65"/>
        <v>0</v>
      </c>
      <c r="G113" s="102">
        <f t="shared" si="65"/>
        <v>0</v>
      </c>
      <c r="H113" s="102">
        <f t="shared" si="65"/>
        <v>0</v>
      </c>
      <c r="I113" s="45">
        <f>SUM(I114:I115)</f>
        <v>0</v>
      </c>
      <c r="J113" s="45">
        <f>SUM(J114:J115)</f>
        <v>0</v>
      </c>
      <c r="K113" s="45">
        <f>SUM(K114:K115)</f>
        <v>0</v>
      </c>
      <c r="L113" s="103">
        <f>SUM(L114:L115)</f>
        <v>0</v>
      </c>
      <c r="M113" s="102">
        <f t="shared" si="65"/>
        <v>0</v>
      </c>
      <c r="N113" s="104">
        <f t="shared" si="65"/>
        <v>0</v>
      </c>
      <c r="O113" s="102">
        <f t="shared" si="65"/>
        <v>0</v>
      </c>
      <c r="P113" s="105">
        <f t="shared" si="65"/>
        <v>0</v>
      </c>
      <c r="Q113" s="106"/>
    </row>
    <row r="114" spans="1:17" ht="12.75" customHeight="1">
      <c r="A114" s="113" t="s">
        <v>20</v>
      </c>
      <c r="B114" s="114"/>
      <c r="C114" s="114"/>
      <c r="D114" s="114">
        <f>+B114+C114</f>
        <v>0</v>
      </c>
      <c r="E114" s="114"/>
      <c r="F114" s="114"/>
      <c r="G114" s="114"/>
      <c r="H114" s="114">
        <f>SUM(E114:G114)</f>
        <v>0</v>
      </c>
      <c r="I114" s="43"/>
      <c r="J114" s="43"/>
      <c r="K114" s="43"/>
      <c r="L114" s="78">
        <f>SUM(I114:K114)</f>
        <v>0</v>
      </c>
      <c r="M114" s="114">
        <f t="shared" ref="M114:O115" si="66">+E114-I114</f>
        <v>0</v>
      </c>
      <c r="N114" s="115">
        <f t="shared" si="66"/>
        <v>0</v>
      </c>
      <c r="O114" s="114">
        <f t="shared" si="66"/>
        <v>0</v>
      </c>
      <c r="P114" s="116">
        <f>SUM(M114:O114)</f>
        <v>0</v>
      </c>
      <c r="Q114" s="106"/>
    </row>
    <row r="115" spans="1:17" ht="12.75" customHeight="1">
      <c r="A115" s="113" t="s">
        <v>21</v>
      </c>
      <c r="B115" s="114"/>
      <c r="C115" s="114"/>
      <c r="D115" s="114">
        <f>+B115+C115</f>
        <v>0</v>
      </c>
      <c r="E115" s="114"/>
      <c r="F115" s="114"/>
      <c r="G115" s="114"/>
      <c r="H115" s="114">
        <f>SUM(E115:G115)</f>
        <v>0</v>
      </c>
      <c r="I115" s="43"/>
      <c r="J115" s="43"/>
      <c r="K115" s="43"/>
      <c r="L115" s="78">
        <f>SUM(I115:K115)</f>
        <v>0</v>
      </c>
      <c r="M115" s="114">
        <f t="shared" si="66"/>
        <v>0</v>
      </c>
      <c r="N115" s="115">
        <f t="shared" si="66"/>
        <v>0</v>
      </c>
      <c r="O115" s="114">
        <f t="shared" si="66"/>
        <v>0</v>
      </c>
      <c r="P115" s="116">
        <f>SUM(M115:O115)</f>
        <v>0</v>
      </c>
      <c r="Q115" s="106"/>
    </row>
    <row r="116" spans="1:17">
      <c r="A116" s="127"/>
      <c r="B116" s="137"/>
      <c r="C116" s="137"/>
      <c r="D116" s="137"/>
      <c r="E116" s="114"/>
      <c r="F116" s="114"/>
      <c r="G116" s="114"/>
      <c r="H116" s="114"/>
      <c r="I116" s="43"/>
      <c r="J116" s="43"/>
      <c r="K116" s="43"/>
      <c r="L116" s="78"/>
      <c r="M116" s="114"/>
      <c r="N116" s="115"/>
      <c r="O116" s="114"/>
      <c r="P116" s="116"/>
      <c r="Q116" s="106"/>
    </row>
    <row r="117" spans="1:17">
      <c r="A117" s="135" t="s">
        <v>233</v>
      </c>
      <c r="B117" s="102">
        <f>+B118+B122</f>
        <v>443684</v>
      </c>
      <c r="C117" s="102">
        <f>+C118+C122</f>
        <v>128598</v>
      </c>
      <c r="D117" s="102">
        <f>+D118+D122</f>
        <v>572282</v>
      </c>
      <c r="E117" s="102">
        <f t="shared" ref="E117:P117" si="67">+E118+E122</f>
        <v>388907</v>
      </c>
      <c r="F117" s="102">
        <f t="shared" si="67"/>
        <v>120070</v>
      </c>
      <c r="G117" s="102">
        <f t="shared" si="67"/>
        <v>65267</v>
      </c>
      <c r="H117" s="102">
        <f t="shared" si="67"/>
        <v>574244</v>
      </c>
      <c r="I117" s="45">
        <f t="shared" si="67"/>
        <v>388615</v>
      </c>
      <c r="J117" s="45">
        <f t="shared" si="67"/>
        <v>103940</v>
      </c>
      <c r="K117" s="45">
        <f t="shared" si="67"/>
        <v>55807</v>
      </c>
      <c r="L117" s="103">
        <f t="shared" si="67"/>
        <v>548362</v>
      </c>
      <c r="M117" s="102">
        <f t="shared" si="67"/>
        <v>292</v>
      </c>
      <c r="N117" s="104">
        <f t="shared" si="67"/>
        <v>16130</v>
      </c>
      <c r="O117" s="102">
        <f t="shared" si="67"/>
        <v>9460</v>
      </c>
      <c r="P117" s="105">
        <f t="shared" si="67"/>
        <v>25882</v>
      </c>
      <c r="Q117" s="106">
        <f>+L117/H117</f>
        <v>0.95492856695063422</v>
      </c>
    </row>
    <row r="118" spans="1:17">
      <c r="A118" s="127" t="s">
        <v>15</v>
      </c>
      <c r="B118" s="108">
        <f>SUM(B119:B121)</f>
        <v>443684</v>
      </c>
      <c r="C118" s="108">
        <f>SUM(C119:C121)</f>
        <v>128583</v>
      </c>
      <c r="D118" s="108">
        <f>SUM(D119:D121)</f>
        <v>572267</v>
      </c>
      <c r="E118" s="108">
        <f t="shared" ref="E118:P118" si="68">SUM(E119:E121)</f>
        <v>388907</v>
      </c>
      <c r="F118" s="108">
        <f t="shared" si="68"/>
        <v>120055</v>
      </c>
      <c r="G118" s="108">
        <f t="shared" si="68"/>
        <v>65267</v>
      </c>
      <c r="H118" s="108">
        <f t="shared" si="68"/>
        <v>574229</v>
      </c>
      <c r="I118" s="109">
        <f>SUM(I119:I121)</f>
        <v>388615</v>
      </c>
      <c r="J118" s="109">
        <f>SUM(J119:J121)</f>
        <v>103925</v>
      </c>
      <c r="K118" s="109">
        <f>SUM(K119:K121)</f>
        <v>55807</v>
      </c>
      <c r="L118" s="110">
        <f>SUM(L119:L121)</f>
        <v>548347</v>
      </c>
      <c r="M118" s="108">
        <f t="shared" si="68"/>
        <v>292</v>
      </c>
      <c r="N118" s="111">
        <f t="shared" si="68"/>
        <v>16130</v>
      </c>
      <c r="O118" s="108">
        <f t="shared" si="68"/>
        <v>9460</v>
      </c>
      <c r="P118" s="112">
        <f t="shared" si="68"/>
        <v>25882</v>
      </c>
      <c r="Q118" s="106"/>
    </row>
    <row r="119" spans="1:17">
      <c r="A119" s="113" t="s">
        <v>16</v>
      </c>
      <c r="B119" s="114">
        <v>417412</v>
      </c>
      <c r="C119" s="147">
        <v>65267</v>
      </c>
      <c r="D119" s="114">
        <f>+B119+C119</f>
        <v>482679</v>
      </c>
      <c r="E119" s="114">
        <v>297357</v>
      </c>
      <c r="F119" s="114">
        <v>120055</v>
      </c>
      <c r="G119" s="148">
        <v>65267</v>
      </c>
      <c r="H119" s="114">
        <f>SUM(E119:G119)</f>
        <v>482679</v>
      </c>
      <c r="I119" s="43">
        <v>297357</v>
      </c>
      <c r="J119" s="43">
        <v>103925</v>
      </c>
      <c r="K119" s="43">
        <v>55807</v>
      </c>
      <c r="L119" s="78">
        <f>SUM(I119:K119)</f>
        <v>457089</v>
      </c>
      <c r="M119" s="114">
        <f t="shared" ref="M119:O121" si="69">+E119-I119</f>
        <v>0</v>
      </c>
      <c r="N119" s="115">
        <f t="shared" si="69"/>
        <v>16130</v>
      </c>
      <c r="O119" s="114">
        <f t="shared" si="69"/>
        <v>9460</v>
      </c>
      <c r="P119" s="116">
        <f>SUM(M119:O119)</f>
        <v>25590</v>
      </c>
      <c r="Q119" s="106"/>
    </row>
    <row r="120" spans="1:17">
      <c r="A120" s="113" t="s">
        <v>17</v>
      </c>
      <c r="B120" s="114"/>
      <c r="C120" s="114">
        <f>+H120</f>
        <v>63316</v>
      </c>
      <c r="D120" s="114">
        <f>+B120+C120</f>
        <v>63316</v>
      </c>
      <c r="E120" s="114">
        <v>63316</v>
      </c>
      <c r="F120" s="114"/>
      <c r="G120" s="114"/>
      <c r="H120" s="114">
        <f>SUM(E120:G120)</f>
        <v>63316</v>
      </c>
      <c r="I120" s="43">
        <v>63316</v>
      </c>
      <c r="J120" s="43"/>
      <c r="K120" s="43"/>
      <c r="L120" s="78">
        <f>SUM(I120:K120)</f>
        <v>63316</v>
      </c>
      <c r="M120" s="114">
        <f t="shared" si="69"/>
        <v>0</v>
      </c>
      <c r="N120" s="115">
        <f t="shared" si="69"/>
        <v>0</v>
      </c>
      <c r="O120" s="114">
        <f t="shared" si="69"/>
        <v>0</v>
      </c>
      <c r="P120" s="116">
        <f>SUM(M120:O120)</f>
        <v>0</v>
      </c>
      <c r="Q120" s="106"/>
    </row>
    <row r="121" spans="1:17">
      <c r="A121" s="113" t="s">
        <v>18</v>
      </c>
      <c r="B121" s="114">
        <v>26272</v>
      </c>
      <c r="C121" s="114"/>
      <c r="D121" s="114">
        <f>+B121+C121</f>
        <v>26272</v>
      </c>
      <c r="E121" s="114">
        <v>28234</v>
      </c>
      <c r="F121" s="114"/>
      <c r="G121" s="114"/>
      <c r="H121" s="114">
        <f>SUM(E121:G121)</f>
        <v>28234</v>
      </c>
      <c r="I121" s="43">
        <v>27942</v>
      </c>
      <c r="J121" s="43"/>
      <c r="K121" s="43"/>
      <c r="L121" s="78">
        <f>SUM(I121:K121)</f>
        <v>27942</v>
      </c>
      <c r="M121" s="114">
        <f t="shared" si="69"/>
        <v>292</v>
      </c>
      <c r="N121" s="115">
        <f t="shared" si="69"/>
        <v>0</v>
      </c>
      <c r="O121" s="114">
        <f t="shared" si="69"/>
        <v>0</v>
      </c>
      <c r="P121" s="116">
        <f>SUM(M121:O121)</f>
        <v>292</v>
      </c>
      <c r="Q121" s="106"/>
    </row>
    <row r="122" spans="1:17">
      <c r="A122" s="113" t="s">
        <v>19</v>
      </c>
      <c r="B122" s="102">
        <f>SUM(B123:B124)</f>
        <v>0</v>
      </c>
      <c r="C122" s="102">
        <f>SUM(C123:C124)</f>
        <v>15</v>
      </c>
      <c r="D122" s="102">
        <f>SUM(D123:D124)</f>
        <v>15</v>
      </c>
      <c r="E122" s="102">
        <f t="shared" ref="E122:P122" si="70">SUM(E123:E124)</f>
        <v>0</v>
      </c>
      <c r="F122" s="102">
        <f t="shared" si="70"/>
        <v>15</v>
      </c>
      <c r="G122" s="102">
        <f t="shared" si="70"/>
        <v>0</v>
      </c>
      <c r="H122" s="102">
        <f t="shared" si="70"/>
        <v>15</v>
      </c>
      <c r="I122" s="45">
        <f>SUM(I123:I124)</f>
        <v>0</v>
      </c>
      <c r="J122" s="45">
        <f>SUM(J123:J124)</f>
        <v>15</v>
      </c>
      <c r="K122" s="45">
        <f>SUM(K123:K124)</f>
        <v>0</v>
      </c>
      <c r="L122" s="103">
        <f>SUM(L123:L124)</f>
        <v>15</v>
      </c>
      <c r="M122" s="102">
        <f t="shared" si="70"/>
        <v>0</v>
      </c>
      <c r="N122" s="104">
        <f t="shared" si="70"/>
        <v>0</v>
      </c>
      <c r="O122" s="102">
        <f t="shared" si="70"/>
        <v>0</v>
      </c>
      <c r="P122" s="105">
        <f t="shared" si="70"/>
        <v>0</v>
      </c>
      <c r="Q122" s="106"/>
    </row>
    <row r="123" spans="1:17" ht="12.75" customHeight="1">
      <c r="A123" s="113" t="s">
        <v>20</v>
      </c>
      <c r="B123" s="114"/>
      <c r="C123" s="114">
        <f>+H123</f>
        <v>15</v>
      </c>
      <c r="D123" s="114">
        <f>+B123+C123</f>
        <v>15</v>
      </c>
      <c r="E123" s="114"/>
      <c r="F123" s="114">
        <v>15</v>
      </c>
      <c r="G123" s="114"/>
      <c r="H123" s="114">
        <f>SUM(E123:G123)</f>
        <v>15</v>
      </c>
      <c r="I123" s="43"/>
      <c r="J123" s="43">
        <v>15</v>
      </c>
      <c r="K123" s="43"/>
      <c r="L123" s="78">
        <f>SUM(I123:K123)</f>
        <v>15</v>
      </c>
      <c r="M123" s="114">
        <f t="shared" ref="M123:O124" si="71">+E123-I123</f>
        <v>0</v>
      </c>
      <c r="N123" s="115">
        <f t="shared" si="71"/>
        <v>0</v>
      </c>
      <c r="O123" s="114">
        <f t="shared" si="71"/>
        <v>0</v>
      </c>
      <c r="P123" s="116">
        <f>SUM(M123:O123)</f>
        <v>0</v>
      </c>
      <c r="Q123" s="106"/>
    </row>
    <row r="124" spans="1:17" ht="12.75" customHeight="1">
      <c r="A124" s="113" t="s">
        <v>21</v>
      </c>
      <c r="B124" s="114"/>
      <c r="C124" s="114"/>
      <c r="D124" s="114">
        <f>+B124+C124</f>
        <v>0</v>
      </c>
      <c r="E124" s="114"/>
      <c r="F124" s="114"/>
      <c r="G124" s="114"/>
      <c r="H124" s="114">
        <f>SUM(E124:G124)</f>
        <v>0</v>
      </c>
      <c r="I124" s="43"/>
      <c r="J124" s="43"/>
      <c r="K124" s="43"/>
      <c r="L124" s="78">
        <f>SUM(I124:K124)</f>
        <v>0</v>
      </c>
      <c r="M124" s="114">
        <f t="shared" si="71"/>
        <v>0</v>
      </c>
      <c r="N124" s="115">
        <f t="shared" si="71"/>
        <v>0</v>
      </c>
      <c r="O124" s="114">
        <f t="shared" si="71"/>
        <v>0</v>
      </c>
      <c r="P124" s="116">
        <f>SUM(M124:O124)</f>
        <v>0</v>
      </c>
      <c r="Q124" s="106"/>
    </row>
    <row r="125" spans="1:17">
      <c r="A125" s="127"/>
      <c r="B125" s="137"/>
      <c r="C125" s="137"/>
      <c r="D125" s="137"/>
      <c r="E125" s="114"/>
      <c r="F125" s="114"/>
      <c r="G125" s="114"/>
      <c r="H125" s="114"/>
      <c r="I125" s="43"/>
      <c r="J125" s="43"/>
      <c r="K125" s="43"/>
      <c r="L125" s="78"/>
      <c r="M125" s="114"/>
      <c r="N125" s="115"/>
      <c r="O125" s="114"/>
      <c r="P125" s="116"/>
      <c r="Q125" s="106"/>
    </row>
    <row r="126" spans="1:17">
      <c r="A126" s="135" t="s">
        <v>234</v>
      </c>
      <c r="B126" s="102">
        <f>+B127+B131</f>
        <v>31767</v>
      </c>
      <c r="C126" s="102">
        <f>+C127+C131</f>
        <v>13926</v>
      </c>
      <c r="D126" s="102">
        <f>+D127+D131</f>
        <v>45693</v>
      </c>
      <c r="E126" s="102">
        <f t="shared" ref="E126:L126" si="72">+E127+E131</f>
        <v>21709</v>
      </c>
      <c r="F126" s="102">
        <f t="shared" si="72"/>
        <v>12018</v>
      </c>
      <c r="G126" s="102">
        <f t="shared" si="72"/>
        <v>11988</v>
      </c>
      <c r="H126" s="102">
        <f t="shared" si="72"/>
        <v>45715</v>
      </c>
      <c r="I126" s="45">
        <f t="shared" si="72"/>
        <v>21695</v>
      </c>
      <c r="J126" s="45">
        <f t="shared" si="72"/>
        <v>8556</v>
      </c>
      <c r="K126" s="45">
        <f t="shared" si="72"/>
        <v>10497</v>
      </c>
      <c r="L126" s="103">
        <f t="shared" si="72"/>
        <v>40748</v>
      </c>
      <c r="M126" s="102">
        <f>+M127+M131</f>
        <v>14</v>
      </c>
      <c r="N126" s="104">
        <f>+N127+N131</f>
        <v>3462</v>
      </c>
      <c r="O126" s="102">
        <f>+O127+O131</f>
        <v>1491</v>
      </c>
      <c r="P126" s="105">
        <f>+P127+P131</f>
        <v>4967</v>
      </c>
      <c r="Q126" s="106">
        <f>+L126/H126</f>
        <v>0.89134857267855194</v>
      </c>
    </row>
    <row r="127" spans="1:17">
      <c r="A127" s="127" t="s">
        <v>15</v>
      </c>
      <c r="B127" s="108">
        <f>SUM(B128:B130)</f>
        <v>31767</v>
      </c>
      <c r="C127" s="108">
        <f>SUM(C128:C130)</f>
        <v>13926</v>
      </c>
      <c r="D127" s="108">
        <f>SUM(D128:D130)</f>
        <v>45693</v>
      </c>
      <c r="E127" s="108">
        <f t="shared" ref="E127:P127" si="73">SUM(E128:E130)</f>
        <v>21709</v>
      </c>
      <c r="F127" s="108">
        <f t="shared" si="73"/>
        <v>12018</v>
      </c>
      <c r="G127" s="108">
        <f t="shared" si="73"/>
        <v>11988</v>
      </c>
      <c r="H127" s="108">
        <f t="shared" si="73"/>
        <v>45715</v>
      </c>
      <c r="I127" s="109">
        <f>SUM(I128:I130)</f>
        <v>21695</v>
      </c>
      <c r="J127" s="109">
        <f>SUM(J128:J130)</f>
        <v>8556</v>
      </c>
      <c r="K127" s="109">
        <f>SUM(K128:K130)</f>
        <v>10497</v>
      </c>
      <c r="L127" s="110">
        <f>SUM(L128:L130)</f>
        <v>40748</v>
      </c>
      <c r="M127" s="108">
        <f t="shared" si="73"/>
        <v>14</v>
      </c>
      <c r="N127" s="111">
        <f t="shared" si="73"/>
        <v>3462</v>
      </c>
      <c r="O127" s="108">
        <f t="shared" si="73"/>
        <v>1491</v>
      </c>
      <c r="P127" s="112">
        <f t="shared" si="73"/>
        <v>4967</v>
      </c>
      <c r="Q127" s="106"/>
    </row>
    <row r="128" spans="1:17">
      <c r="A128" s="113" t="s">
        <v>16</v>
      </c>
      <c r="B128" s="114">
        <v>30091</v>
      </c>
      <c r="C128" s="114">
        <v>11988</v>
      </c>
      <c r="D128" s="114">
        <f>+B128+C128</f>
        <v>42079</v>
      </c>
      <c r="E128" s="114">
        <v>18073</v>
      </c>
      <c r="F128" s="114">
        <v>12018</v>
      </c>
      <c r="G128" s="114">
        <v>11988</v>
      </c>
      <c r="H128" s="114">
        <f>SUM(E128:G128)</f>
        <v>42079</v>
      </c>
      <c r="I128" s="43">
        <f>19245-1172</f>
        <v>18073</v>
      </c>
      <c r="J128" s="43">
        <f>7384+1172</f>
        <v>8556</v>
      </c>
      <c r="K128" s="43">
        <v>10497</v>
      </c>
      <c r="L128" s="78">
        <f>SUM(I128:K128)</f>
        <v>37126</v>
      </c>
      <c r="M128" s="114">
        <f t="shared" ref="M128:O130" si="74">+E128-I128</f>
        <v>0</v>
      </c>
      <c r="N128" s="115">
        <f t="shared" si="74"/>
        <v>3462</v>
      </c>
      <c r="O128" s="114">
        <f t="shared" si="74"/>
        <v>1491</v>
      </c>
      <c r="P128" s="116">
        <f>SUM(M128:O128)</f>
        <v>4953</v>
      </c>
      <c r="Q128" s="106"/>
    </row>
    <row r="129" spans="1:17">
      <c r="A129" s="113" t="s">
        <v>17</v>
      </c>
      <c r="B129" s="114"/>
      <c r="C129" s="114">
        <f>+H129</f>
        <v>1938</v>
      </c>
      <c r="D129" s="114">
        <f>+B129+C129</f>
        <v>1938</v>
      </c>
      <c r="E129" s="114">
        <v>1938</v>
      </c>
      <c r="F129" s="114"/>
      <c r="G129" s="114"/>
      <c r="H129" s="114">
        <f>SUM(E129:G129)</f>
        <v>1938</v>
      </c>
      <c r="I129" s="43">
        <v>1935</v>
      </c>
      <c r="J129" s="43"/>
      <c r="K129" s="43"/>
      <c r="L129" s="78">
        <f>SUM(I129:K129)</f>
        <v>1935</v>
      </c>
      <c r="M129" s="114">
        <f t="shared" si="74"/>
        <v>3</v>
      </c>
      <c r="N129" s="115">
        <f t="shared" si="74"/>
        <v>0</v>
      </c>
      <c r="O129" s="114">
        <f t="shared" si="74"/>
        <v>0</v>
      </c>
      <c r="P129" s="116">
        <f>SUM(M129:O129)</f>
        <v>3</v>
      </c>
      <c r="Q129" s="106"/>
    </row>
    <row r="130" spans="1:17">
      <c r="A130" s="113" t="s">
        <v>18</v>
      </c>
      <c r="B130" s="114">
        <v>1676</v>
      </c>
      <c r="C130" s="114"/>
      <c r="D130" s="114">
        <f>+B130+C130</f>
        <v>1676</v>
      </c>
      <c r="E130" s="114">
        <v>1698</v>
      </c>
      <c r="F130" s="114"/>
      <c r="G130" s="114"/>
      <c r="H130" s="114">
        <f>SUM(E130:G130)</f>
        <v>1698</v>
      </c>
      <c r="I130" s="43">
        <v>1687</v>
      </c>
      <c r="J130" s="43"/>
      <c r="K130" s="43"/>
      <c r="L130" s="78">
        <f>SUM(I130:K130)</f>
        <v>1687</v>
      </c>
      <c r="M130" s="114">
        <f t="shared" si="74"/>
        <v>11</v>
      </c>
      <c r="N130" s="115">
        <f t="shared" si="74"/>
        <v>0</v>
      </c>
      <c r="O130" s="114">
        <f t="shared" si="74"/>
        <v>0</v>
      </c>
      <c r="P130" s="116">
        <f>SUM(M130:O130)</f>
        <v>11</v>
      </c>
      <c r="Q130" s="106"/>
    </row>
    <row r="131" spans="1:17">
      <c r="A131" s="113" t="s">
        <v>19</v>
      </c>
      <c r="B131" s="102">
        <f>SUM(B132:B133)</f>
        <v>0</v>
      </c>
      <c r="C131" s="102">
        <f>SUM(C132:C133)</f>
        <v>0</v>
      </c>
      <c r="D131" s="102">
        <f>SUM(D132:D133)</f>
        <v>0</v>
      </c>
      <c r="E131" s="102">
        <f t="shared" ref="E131:P131" si="75">SUM(E132:E133)</f>
        <v>0</v>
      </c>
      <c r="F131" s="102">
        <f t="shared" si="75"/>
        <v>0</v>
      </c>
      <c r="G131" s="102">
        <f t="shared" si="75"/>
        <v>0</v>
      </c>
      <c r="H131" s="102">
        <f t="shared" si="75"/>
        <v>0</v>
      </c>
      <c r="I131" s="45">
        <f>SUM(I132:I133)</f>
        <v>0</v>
      </c>
      <c r="J131" s="45">
        <f>SUM(J132:J133)</f>
        <v>0</v>
      </c>
      <c r="K131" s="45">
        <f>SUM(K132:K133)</f>
        <v>0</v>
      </c>
      <c r="L131" s="103">
        <f>SUM(L132:L133)</f>
        <v>0</v>
      </c>
      <c r="M131" s="102">
        <f t="shared" si="75"/>
        <v>0</v>
      </c>
      <c r="N131" s="104">
        <f t="shared" si="75"/>
        <v>0</v>
      </c>
      <c r="O131" s="102">
        <f t="shared" si="75"/>
        <v>0</v>
      </c>
      <c r="P131" s="105">
        <f t="shared" si="75"/>
        <v>0</v>
      </c>
      <c r="Q131" s="106"/>
    </row>
    <row r="132" spans="1:17" ht="12.75" customHeight="1">
      <c r="A132" s="113" t="s">
        <v>20</v>
      </c>
      <c r="B132" s="114"/>
      <c r="C132" s="114"/>
      <c r="D132" s="114">
        <f>+B132+C132</f>
        <v>0</v>
      </c>
      <c r="E132" s="114"/>
      <c r="F132" s="114"/>
      <c r="G132" s="114"/>
      <c r="H132" s="114">
        <f>SUM(E132:G132)</f>
        <v>0</v>
      </c>
      <c r="I132" s="43"/>
      <c r="J132" s="43"/>
      <c r="K132" s="43"/>
      <c r="L132" s="78">
        <f>SUM(I132:K132)</f>
        <v>0</v>
      </c>
      <c r="M132" s="114">
        <f t="shared" ref="M132:O133" si="76">+E132-I132</f>
        <v>0</v>
      </c>
      <c r="N132" s="115">
        <f t="shared" si="76"/>
        <v>0</v>
      </c>
      <c r="O132" s="114">
        <f t="shared" si="76"/>
        <v>0</v>
      </c>
      <c r="P132" s="116">
        <f>SUM(M132:O132)</f>
        <v>0</v>
      </c>
      <c r="Q132" s="106"/>
    </row>
    <row r="133" spans="1:17" ht="12.75" customHeight="1">
      <c r="A133" s="113" t="s">
        <v>21</v>
      </c>
      <c r="B133" s="114"/>
      <c r="C133" s="114">
        <f>+H133</f>
        <v>0</v>
      </c>
      <c r="D133" s="114">
        <f>+B133+C133</f>
        <v>0</v>
      </c>
      <c r="E133" s="114"/>
      <c r="F133" s="114"/>
      <c r="G133" s="114"/>
      <c r="H133" s="114">
        <f>SUM(E133:G133)</f>
        <v>0</v>
      </c>
      <c r="I133" s="43"/>
      <c r="J133" s="43"/>
      <c r="K133" s="43"/>
      <c r="L133" s="78">
        <f>SUM(I133:K133)</f>
        <v>0</v>
      </c>
      <c r="M133" s="114">
        <f t="shared" si="76"/>
        <v>0</v>
      </c>
      <c r="N133" s="115">
        <f t="shared" si="76"/>
        <v>0</v>
      </c>
      <c r="O133" s="114">
        <f t="shared" si="76"/>
        <v>0</v>
      </c>
      <c r="P133" s="116">
        <f>SUM(M133:O133)</f>
        <v>0</v>
      </c>
      <c r="Q133" s="106"/>
    </row>
    <row r="134" spans="1:17">
      <c r="A134" s="225"/>
      <c r="B134" s="226"/>
      <c r="C134" s="226"/>
      <c r="D134" s="226"/>
      <c r="E134" s="102"/>
      <c r="F134" s="102"/>
      <c r="G134" s="102"/>
      <c r="H134" s="102"/>
      <c r="I134" s="45"/>
      <c r="J134" s="45"/>
      <c r="K134" s="45"/>
      <c r="L134" s="103"/>
      <c r="M134" s="102"/>
      <c r="N134" s="104"/>
      <c r="O134" s="102"/>
      <c r="P134" s="105"/>
      <c r="Q134" s="227"/>
    </row>
    <row r="135" spans="1:17">
      <c r="A135" s="135" t="s">
        <v>235</v>
      </c>
      <c r="B135" s="102">
        <f>+B136+B140</f>
        <v>318086</v>
      </c>
      <c r="C135" s="102">
        <f>+C136+C140</f>
        <v>22541</v>
      </c>
      <c r="D135" s="102">
        <f>+D136+D140</f>
        <v>340627</v>
      </c>
      <c r="E135" s="102">
        <f t="shared" ref="E135:P135" si="77">+E136+E140</f>
        <v>266363</v>
      </c>
      <c r="F135" s="102">
        <f t="shared" si="77"/>
        <v>66530</v>
      </c>
      <c r="G135" s="102">
        <f t="shared" si="77"/>
        <v>31658</v>
      </c>
      <c r="H135" s="102">
        <f t="shared" si="77"/>
        <v>364551</v>
      </c>
      <c r="I135" s="45">
        <f t="shared" si="77"/>
        <v>265470</v>
      </c>
      <c r="J135" s="45">
        <f t="shared" si="77"/>
        <v>54317</v>
      </c>
      <c r="K135" s="45">
        <f t="shared" si="77"/>
        <v>8087</v>
      </c>
      <c r="L135" s="103">
        <f t="shared" si="77"/>
        <v>327874</v>
      </c>
      <c r="M135" s="102">
        <f t="shared" si="77"/>
        <v>893</v>
      </c>
      <c r="N135" s="104">
        <f t="shared" si="77"/>
        <v>12213</v>
      </c>
      <c r="O135" s="102">
        <f t="shared" si="77"/>
        <v>23571</v>
      </c>
      <c r="P135" s="105">
        <f t="shared" si="77"/>
        <v>36677</v>
      </c>
      <c r="Q135" s="106">
        <f>+L135/H135</f>
        <v>0.89939130601753936</v>
      </c>
    </row>
    <row r="136" spans="1:17">
      <c r="A136" s="127" t="s">
        <v>15</v>
      </c>
      <c r="B136" s="108">
        <f>SUM(B137:B139)</f>
        <v>318086</v>
      </c>
      <c r="C136" s="108">
        <f>SUM(C137:C139)</f>
        <v>22541</v>
      </c>
      <c r="D136" s="108">
        <f>SUM(D137:D139)</f>
        <v>340627</v>
      </c>
      <c r="E136" s="108">
        <f t="shared" ref="E136:P136" si="78">SUM(E137:E139)</f>
        <v>266363</v>
      </c>
      <c r="F136" s="108">
        <f t="shared" si="78"/>
        <v>66094</v>
      </c>
      <c r="G136" s="108">
        <f t="shared" si="78"/>
        <v>31658</v>
      </c>
      <c r="H136" s="108">
        <f t="shared" si="78"/>
        <v>364115</v>
      </c>
      <c r="I136" s="109">
        <f>SUM(I137:I139)</f>
        <v>265470</v>
      </c>
      <c r="J136" s="109">
        <f>SUM(J137:J139)</f>
        <v>53882</v>
      </c>
      <c r="K136" s="109">
        <f>SUM(K137:K139)</f>
        <v>8087</v>
      </c>
      <c r="L136" s="110">
        <f>SUM(L137:L139)</f>
        <v>327439</v>
      </c>
      <c r="M136" s="108">
        <f t="shared" si="78"/>
        <v>893</v>
      </c>
      <c r="N136" s="111">
        <f t="shared" si="78"/>
        <v>12212</v>
      </c>
      <c r="O136" s="108">
        <f t="shared" si="78"/>
        <v>23571</v>
      </c>
      <c r="P136" s="112">
        <f t="shared" si="78"/>
        <v>36676</v>
      </c>
      <c r="Q136" s="106"/>
    </row>
    <row r="137" spans="1:17">
      <c r="A137" s="113" t="s">
        <v>16</v>
      </c>
      <c r="B137" s="114">
        <v>297399</v>
      </c>
      <c r="C137" s="114"/>
      <c r="D137" s="114">
        <f>+B137+C137</f>
        <v>297399</v>
      </c>
      <c r="E137" s="114">
        <v>223005</v>
      </c>
      <c r="F137" s="114">
        <v>66094</v>
      </c>
      <c r="G137" s="114">
        <v>31658</v>
      </c>
      <c r="H137" s="114">
        <f>SUM(E137:G137)</f>
        <v>320757</v>
      </c>
      <c r="I137" s="43">
        <v>222446</v>
      </c>
      <c r="J137" s="43">
        <v>53882</v>
      </c>
      <c r="K137" s="43">
        <v>8087</v>
      </c>
      <c r="L137" s="78">
        <f>SUM(I137:K137)</f>
        <v>284415</v>
      </c>
      <c r="M137" s="114">
        <f t="shared" ref="M137:O139" si="79">+E137-I137</f>
        <v>559</v>
      </c>
      <c r="N137" s="115">
        <f t="shared" si="79"/>
        <v>12212</v>
      </c>
      <c r="O137" s="114">
        <f t="shared" si="79"/>
        <v>23571</v>
      </c>
      <c r="P137" s="116">
        <f>SUM(M137:O137)</f>
        <v>36342</v>
      </c>
      <c r="Q137" s="106"/>
    </row>
    <row r="138" spans="1:17">
      <c r="A138" s="113" t="s">
        <v>17</v>
      </c>
      <c r="B138" s="114"/>
      <c r="C138" s="114">
        <f>+H138</f>
        <v>22541</v>
      </c>
      <c r="D138" s="114">
        <f>+B138+C138</f>
        <v>22541</v>
      </c>
      <c r="E138" s="114">
        <v>22541</v>
      </c>
      <c r="F138" s="114"/>
      <c r="G138" s="114"/>
      <c r="H138" s="114">
        <f>SUM(E138:G138)</f>
        <v>22541</v>
      </c>
      <c r="I138" s="43">
        <v>22541</v>
      </c>
      <c r="J138" s="43"/>
      <c r="K138" s="43"/>
      <c r="L138" s="78">
        <f>SUM(I138:K138)</f>
        <v>22541</v>
      </c>
      <c r="M138" s="114">
        <f t="shared" si="79"/>
        <v>0</v>
      </c>
      <c r="N138" s="115">
        <f t="shared" si="79"/>
        <v>0</v>
      </c>
      <c r="O138" s="114">
        <f t="shared" si="79"/>
        <v>0</v>
      </c>
      <c r="P138" s="116">
        <f>SUM(M138:O138)</f>
        <v>0</v>
      </c>
      <c r="Q138" s="106"/>
    </row>
    <row r="139" spans="1:17">
      <c r="A139" s="113" t="s">
        <v>18</v>
      </c>
      <c r="B139" s="114">
        <v>20687</v>
      </c>
      <c r="C139" s="114"/>
      <c r="D139" s="114">
        <f>+B139+C139</f>
        <v>20687</v>
      </c>
      <c r="E139" s="114">
        <v>20817</v>
      </c>
      <c r="F139" s="114"/>
      <c r="G139" s="114"/>
      <c r="H139" s="114">
        <f>SUM(E139:G139)</f>
        <v>20817</v>
      </c>
      <c r="I139" s="43">
        <v>20483</v>
      </c>
      <c r="J139" s="43"/>
      <c r="K139" s="43"/>
      <c r="L139" s="78">
        <f>SUM(I139:K139)</f>
        <v>20483</v>
      </c>
      <c r="M139" s="114">
        <f t="shared" si="79"/>
        <v>334</v>
      </c>
      <c r="N139" s="115">
        <f t="shared" si="79"/>
        <v>0</v>
      </c>
      <c r="O139" s="114">
        <f t="shared" si="79"/>
        <v>0</v>
      </c>
      <c r="P139" s="116">
        <f>SUM(M139:O139)</f>
        <v>334</v>
      </c>
      <c r="Q139" s="106"/>
    </row>
    <row r="140" spans="1:17">
      <c r="A140" s="113" t="s">
        <v>19</v>
      </c>
      <c r="B140" s="102">
        <f>SUM(B141:B142)</f>
        <v>0</v>
      </c>
      <c r="C140" s="102">
        <f>SUM(C141:C142)</f>
        <v>0</v>
      </c>
      <c r="D140" s="102">
        <f>SUM(D141:D142)</f>
        <v>0</v>
      </c>
      <c r="E140" s="102">
        <f t="shared" ref="E140:P140" si="80">SUM(E141:E142)</f>
        <v>0</v>
      </c>
      <c r="F140" s="102">
        <f t="shared" si="80"/>
        <v>436</v>
      </c>
      <c r="G140" s="102">
        <f t="shared" si="80"/>
        <v>0</v>
      </c>
      <c r="H140" s="102">
        <f t="shared" si="80"/>
        <v>436</v>
      </c>
      <c r="I140" s="45">
        <f>SUM(I141:I142)</f>
        <v>0</v>
      </c>
      <c r="J140" s="45">
        <f>SUM(J141:J142)</f>
        <v>435</v>
      </c>
      <c r="K140" s="45">
        <f>SUM(K141:K142)</f>
        <v>0</v>
      </c>
      <c r="L140" s="103">
        <f>SUM(L141:L142)</f>
        <v>435</v>
      </c>
      <c r="M140" s="102">
        <f t="shared" si="80"/>
        <v>0</v>
      </c>
      <c r="N140" s="104">
        <f t="shared" si="80"/>
        <v>1</v>
      </c>
      <c r="O140" s="102">
        <f t="shared" si="80"/>
        <v>0</v>
      </c>
      <c r="P140" s="105">
        <f t="shared" si="80"/>
        <v>1</v>
      </c>
      <c r="Q140" s="106"/>
    </row>
    <row r="141" spans="1:17" ht="12.75" customHeight="1">
      <c r="A141" s="113" t="s">
        <v>20</v>
      </c>
      <c r="B141" s="114"/>
      <c r="C141" s="114"/>
      <c r="D141" s="114">
        <f>+B141+C141</f>
        <v>0</v>
      </c>
      <c r="E141" s="114"/>
      <c r="F141" s="114">
        <v>436</v>
      </c>
      <c r="G141" s="114"/>
      <c r="H141" s="114">
        <f>SUM(E141:G141)</f>
        <v>436</v>
      </c>
      <c r="I141" s="43"/>
      <c r="J141" s="43">
        <v>435</v>
      </c>
      <c r="K141" s="43"/>
      <c r="L141" s="78">
        <f>SUM(I141:K141)</f>
        <v>435</v>
      </c>
      <c r="M141" s="114">
        <f t="shared" ref="M141:O142" si="81">+E141-I141</f>
        <v>0</v>
      </c>
      <c r="N141" s="115">
        <f t="shared" si="81"/>
        <v>1</v>
      </c>
      <c r="O141" s="114">
        <f t="shared" si="81"/>
        <v>0</v>
      </c>
      <c r="P141" s="116">
        <f>SUM(M141:O141)</f>
        <v>1</v>
      </c>
      <c r="Q141" s="106"/>
    </row>
    <row r="142" spans="1:17" ht="12.75" customHeight="1">
      <c r="A142" s="113" t="s">
        <v>21</v>
      </c>
      <c r="B142" s="114"/>
      <c r="C142" s="114"/>
      <c r="D142" s="114">
        <f>+B142+C142</f>
        <v>0</v>
      </c>
      <c r="E142" s="114"/>
      <c r="F142" s="114"/>
      <c r="G142" s="114"/>
      <c r="H142" s="114">
        <f>SUM(E142:G142)</f>
        <v>0</v>
      </c>
      <c r="I142" s="43"/>
      <c r="J142" s="43"/>
      <c r="K142" s="43"/>
      <c r="L142" s="78">
        <f>SUM(I142:K142)</f>
        <v>0</v>
      </c>
      <c r="M142" s="114">
        <f t="shared" si="81"/>
        <v>0</v>
      </c>
      <c r="N142" s="115">
        <f t="shared" si="81"/>
        <v>0</v>
      </c>
      <c r="O142" s="114">
        <f t="shared" si="81"/>
        <v>0</v>
      </c>
      <c r="P142" s="116">
        <f>SUM(M142:O142)</f>
        <v>0</v>
      </c>
      <c r="Q142" s="106"/>
    </row>
    <row r="143" spans="1:17">
      <c r="A143" s="127"/>
      <c r="B143" s="137"/>
      <c r="C143" s="137"/>
      <c r="D143" s="137"/>
      <c r="E143" s="148"/>
      <c r="F143" s="148"/>
      <c r="G143" s="148"/>
      <c r="H143" s="148"/>
      <c r="I143" s="43"/>
      <c r="J143" s="43"/>
      <c r="K143" s="43"/>
      <c r="L143" s="78"/>
      <c r="M143" s="114"/>
      <c r="N143" s="115"/>
      <c r="O143" s="114"/>
      <c r="P143" s="116"/>
      <c r="Q143" s="106"/>
    </row>
    <row r="144" spans="1:17">
      <c r="A144" s="135" t="s">
        <v>236</v>
      </c>
      <c r="B144" s="102">
        <f>+B145+B149</f>
        <v>308065</v>
      </c>
      <c r="C144" s="102">
        <f>+C145+C149</f>
        <v>67240</v>
      </c>
      <c r="D144" s="102">
        <f>+D145+D149</f>
        <v>375305</v>
      </c>
      <c r="E144" s="102">
        <f t="shared" ref="E144:P144" si="82">+E145+E149</f>
        <v>275460</v>
      </c>
      <c r="F144" s="102">
        <f t="shared" si="82"/>
        <v>61484</v>
      </c>
      <c r="G144" s="102">
        <f t="shared" si="82"/>
        <v>41688</v>
      </c>
      <c r="H144" s="102">
        <f t="shared" si="82"/>
        <v>378632</v>
      </c>
      <c r="I144" s="45">
        <f t="shared" si="82"/>
        <v>275460</v>
      </c>
      <c r="J144" s="45">
        <f t="shared" si="82"/>
        <v>54179</v>
      </c>
      <c r="K144" s="45">
        <f t="shared" si="82"/>
        <v>31978</v>
      </c>
      <c r="L144" s="103">
        <f t="shared" si="82"/>
        <v>361617</v>
      </c>
      <c r="M144" s="102">
        <f t="shared" si="82"/>
        <v>0</v>
      </c>
      <c r="N144" s="104">
        <f t="shared" si="82"/>
        <v>7305</v>
      </c>
      <c r="O144" s="102">
        <f t="shared" si="82"/>
        <v>9710</v>
      </c>
      <c r="P144" s="105">
        <f t="shared" si="82"/>
        <v>17015</v>
      </c>
      <c r="Q144" s="106">
        <f>+L144/H144</f>
        <v>0.95506190707599992</v>
      </c>
    </row>
    <row r="145" spans="1:17">
      <c r="A145" s="127" t="s">
        <v>15</v>
      </c>
      <c r="B145" s="108">
        <f>SUM(B146:B148)</f>
        <v>308065</v>
      </c>
      <c r="C145" s="108">
        <f>SUM(C146:C148)</f>
        <v>67240</v>
      </c>
      <c r="D145" s="108">
        <f>SUM(D146:D148)</f>
        <v>375305</v>
      </c>
      <c r="E145" s="108">
        <f t="shared" ref="E145:P145" si="83">SUM(E146:E148)</f>
        <v>275460</v>
      </c>
      <c r="F145" s="108">
        <f t="shared" si="83"/>
        <v>58157</v>
      </c>
      <c r="G145" s="108">
        <f t="shared" si="83"/>
        <v>41688</v>
      </c>
      <c r="H145" s="108">
        <f t="shared" si="83"/>
        <v>375305</v>
      </c>
      <c r="I145" s="109">
        <f>SUM(I146:I148)</f>
        <v>275460</v>
      </c>
      <c r="J145" s="109">
        <f>SUM(J146:J148)</f>
        <v>52388</v>
      </c>
      <c r="K145" s="109">
        <f>SUM(K146:K148)</f>
        <v>31978</v>
      </c>
      <c r="L145" s="110">
        <f>SUM(L146:L148)</f>
        <v>359826</v>
      </c>
      <c r="M145" s="108">
        <f t="shared" si="83"/>
        <v>0</v>
      </c>
      <c r="N145" s="111">
        <f t="shared" si="83"/>
        <v>5769</v>
      </c>
      <c r="O145" s="108">
        <f t="shared" si="83"/>
        <v>9710</v>
      </c>
      <c r="P145" s="112">
        <f t="shared" si="83"/>
        <v>15479</v>
      </c>
      <c r="Q145" s="106"/>
    </row>
    <row r="146" spans="1:17">
      <c r="A146" s="113" t="s">
        <v>16</v>
      </c>
      <c r="B146" s="114">
        <v>287180</v>
      </c>
      <c r="C146" s="114">
        <v>41388</v>
      </c>
      <c r="D146" s="114">
        <f>+B146+C146</f>
        <v>328568</v>
      </c>
      <c r="E146" s="114">
        <v>228723</v>
      </c>
      <c r="F146" s="114">
        <v>58157</v>
      </c>
      <c r="G146" s="114">
        <v>41688</v>
      </c>
      <c r="H146" s="114">
        <f>SUM(E146:G146)</f>
        <v>328568</v>
      </c>
      <c r="I146" s="43">
        <f>235645-6922</f>
        <v>228723</v>
      </c>
      <c r="J146" s="43">
        <v>52388</v>
      </c>
      <c r="K146" s="43">
        <v>31978</v>
      </c>
      <c r="L146" s="78">
        <f>SUM(I146:K146)</f>
        <v>313089</v>
      </c>
      <c r="M146" s="114">
        <f t="shared" ref="M146:O148" si="84">+E146-I146</f>
        <v>0</v>
      </c>
      <c r="N146" s="115">
        <f t="shared" si="84"/>
        <v>5769</v>
      </c>
      <c r="O146" s="114">
        <f t="shared" si="84"/>
        <v>9710</v>
      </c>
      <c r="P146" s="116">
        <f>SUM(M146:O146)</f>
        <v>15479</v>
      </c>
      <c r="Q146" s="106"/>
    </row>
    <row r="147" spans="1:17">
      <c r="A147" s="113" t="s">
        <v>17</v>
      </c>
      <c r="B147" s="114"/>
      <c r="C147" s="114">
        <f>+H147</f>
        <v>25852</v>
      </c>
      <c r="D147" s="114">
        <f>+B147+C147</f>
        <v>25852</v>
      </c>
      <c r="E147" s="114">
        <v>25852</v>
      </c>
      <c r="F147" s="114"/>
      <c r="G147" s="114"/>
      <c r="H147" s="114">
        <f>SUM(E147:G147)</f>
        <v>25852</v>
      </c>
      <c r="I147" s="43">
        <f>18944+6908</f>
        <v>25852</v>
      </c>
      <c r="J147" s="43"/>
      <c r="K147" s="43"/>
      <c r="L147" s="78">
        <f>SUM(I147:K147)</f>
        <v>25852</v>
      </c>
      <c r="M147" s="114">
        <f t="shared" si="84"/>
        <v>0</v>
      </c>
      <c r="N147" s="115">
        <f t="shared" si="84"/>
        <v>0</v>
      </c>
      <c r="O147" s="114">
        <f t="shared" si="84"/>
        <v>0</v>
      </c>
      <c r="P147" s="116">
        <f>SUM(M147:O147)</f>
        <v>0</v>
      </c>
      <c r="Q147" s="106"/>
    </row>
    <row r="148" spans="1:17">
      <c r="A148" s="113" t="s">
        <v>18</v>
      </c>
      <c r="B148" s="114">
        <v>20885</v>
      </c>
      <c r="C148" s="114"/>
      <c r="D148" s="114">
        <f>+B148+C148</f>
        <v>20885</v>
      </c>
      <c r="E148" s="114">
        <v>20885</v>
      </c>
      <c r="F148" s="114"/>
      <c r="G148" s="114"/>
      <c r="H148" s="114">
        <f>SUM(E148:G148)</f>
        <v>20885</v>
      </c>
      <c r="I148" s="43">
        <f>20871+14</f>
        <v>20885</v>
      </c>
      <c r="J148" s="43"/>
      <c r="K148" s="43"/>
      <c r="L148" s="78">
        <f>SUM(I148:K148)</f>
        <v>20885</v>
      </c>
      <c r="M148" s="114">
        <f t="shared" si="84"/>
        <v>0</v>
      </c>
      <c r="N148" s="115">
        <f t="shared" si="84"/>
        <v>0</v>
      </c>
      <c r="O148" s="114">
        <f t="shared" si="84"/>
        <v>0</v>
      </c>
      <c r="P148" s="116">
        <f>SUM(M148:O148)</f>
        <v>0</v>
      </c>
      <c r="Q148" s="106"/>
    </row>
    <row r="149" spans="1:17">
      <c r="A149" s="113" t="s">
        <v>19</v>
      </c>
      <c r="B149" s="102">
        <f>SUM(B150:B151)</f>
        <v>0</v>
      </c>
      <c r="C149" s="102">
        <f>SUM(C150:C151)</f>
        <v>0</v>
      </c>
      <c r="D149" s="102">
        <f>SUM(D150:D151)</f>
        <v>0</v>
      </c>
      <c r="E149" s="102">
        <f t="shared" ref="E149:P149" si="85">SUM(E150:E151)</f>
        <v>0</v>
      </c>
      <c r="F149" s="102">
        <f t="shared" si="85"/>
        <v>3327</v>
      </c>
      <c r="G149" s="102">
        <f t="shared" si="85"/>
        <v>0</v>
      </c>
      <c r="H149" s="102">
        <f t="shared" si="85"/>
        <v>3327</v>
      </c>
      <c r="I149" s="45">
        <f>SUM(I150:I151)</f>
        <v>0</v>
      </c>
      <c r="J149" s="45">
        <f>SUM(J150:J151)</f>
        <v>1791</v>
      </c>
      <c r="K149" s="45">
        <f>SUM(K150:K151)</f>
        <v>0</v>
      </c>
      <c r="L149" s="103">
        <f>SUM(L150:L151)</f>
        <v>1791</v>
      </c>
      <c r="M149" s="102">
        <f t="shared" si="85"/>
        <v>0</v>
      </c>
      <c r="N149" s="104">
        <f t="shared" si="85"/>
        <v>1536</v>
      </c>
      <c r="O149" s="102">
        <f t="shared" si="85"/>
        <v>0</v>
      </c>
      <c r="P149" s="105">
        <f t="shared" si="85"/>
        <v>1536</v>
      </c>
      <c r="Q149" s="106"/>
    </row>
    <row r="150" spans="1:17" ht="12.75" customHeight="1">
      <c r="A150" s="113" t="s">
        <v>20</v>
      </c>
      <c r="B150" s="114"/>
      <c r="C150" s="114"/>
      <c r="D150" s="114">
        <f>+B150+C150</f>
        <v>0</v>
      </c>
      <c r="E150" s="114"/>
      <c r="F150" s="114">
        <v>3327</v>
      </c>
      <c r="G150" s="114"/>
      <c r="H150" s="114">
        <f>SUM(E150:G150)</f>
        <v>3327</v>
      </c>
      <c r="I150" s="43"/>
      <c r="J150" s="43">
        <v>1791</v>
      </c>
      <c r="K150" s="43"/>
      <c r="L150" s="78">
        <f>SUM(I150:K150)</f>
        <v>1791</v>
      </c>
      <c r="M150" s="114">
        <f t="shared" ref="M150:O151" si="86">+E150-I150</f>
        <v>0</v>
      </c>
      <c r="N150" s="115">
        <f t="shared" si="86"/>
        <v>1536</v>
      </c>
      <c r="O150" s="114">
        <f t="shared" si="86"/>
        <v>0</v>
      </c>
      <c r="P150" s="116">
        <f>SUM(M150:O150)</f>
        <v>1536</v>
      </c>
      <c r="Q150" s="106"/>
    </row>
    <row r="151" spans="1:17" ht="12.75" customHeight="1">
      <c r="A151" s="113" t="s">
        <v>21</v>
      </c>
      <c r="B151" s="114"/>
      <c r="C151" s="114"/>
      <c r="D151" s="114">
        <f>+B151+C151</f>
        <v>0</v>
      </c>
      <c r="E151" s="114"/>
      <c r="F151" s="114"/>
      <c r="G151" s="114"/>
      <c r="H151" s="114">
        <f>SUM(E151:G151)</f>
        <v>0</v>
      </c>
      <c r="I151" s="43"/>
      <c r="J151" s="43"/>
      <c r="K151" s="43"/>
      <c r="L151" s="78">
        <f>SUM(I151:K151)</f>
        <v>0</v>
      </c>
      <c r="M151" s="114">
        <f t="shared" si="86"/>
        <v>0</v>
      </c>
      <c r="N151" s="115">
        <f t="shared" si="86"/>
        <v>0</v>
      </c>
      <c r="O151" s="114">
        <f t="shared" si="86"/>
        <v>0</v>
      </c>
      <c r="P151" s="116">
        <f>SUM(M151:O151)</f>
        <v>0</v>
      </c>
      <c r="Q151" s="106"/>
    </row>
    <row r="152" spans="1:17">
      <c r="A152" s="225"/>
      <c r="B152" s="226"/>
      <c r="C152" s="226"/>
      <c r="D152" s="226"/>
      <c r="E152" s="228"/>
      <c r="F152" s="228"/>
      <c r="G152" s="228"/>
      <c r="H152" s="228"/>
      <c r="I152" s="74"/>
      <c r="J152" s="74"/>
      <c r="K152" s="74"/>
      <c r="L152" s="138"/>
      <c r="M152" s="102"/>
      <c r="N152" s="104"/>
      <c r="O152" s="102"/>
      <c r="P152" s="105"/>
      <c r="Q152" s="227"/>
    </row>
    <row r="153" spans="1:17">
      <c r="A153" s="145" t="s">
        <v>237</v>
      </c>
      <c r="B153" s="102">
        <f>+B154+B158</f>
        <v>873186</v>
      </c>
      <c r="C153" s="102">
        <f>+C154+C158</f>
        <v>181363</v>
      </c>
      <c r="D153" s="102">
        <f>+D154+D158</f>
        <v>1054549</v>
      </c>
      <c r="E153" s="102">
        <f t="shared" ref="E153:P153" si="87">+E154+E158</f>
        <v>736191</v>
      </c>
      <c r="F153" s="102">
        <f t="shared" si="87"/>
        <v>208306</v>
      </c>
      <c r="G153" s="102">
        <f t="shared" si="87"/>
        <v>205167</v>
      </c>
      <c r="H153" s="102">
        <f t="shared" si="87"/>
        <v>1149664</v>
      </c>
      <c r="I153" s="139">
        <f>+I154+I158</f>
        <v>717848</v>
      </c>
      <c r="J153" s="139">
        <f>+J154+J158</f>
        <v>205781</v>
      </c>
      <c r="K153" s="139">
        <f>+K154+K158</f>
        <v>83541</v>
      </c>
      <c r="L153" s="139">
        <f>+L154+L158</f>
        <v>1007170</v>
      </c>
      <c r="M153" s="102">
        <f t="shared" si="87"/>
        <v>18343</v>
      </c>
      <c r="N153" s="104">
        <f t="shared" si="87"/>
        <v>2525</v>
      </c>
      <c r="O153" s="102">
        <f t="shared" si="87"/>
        <v>121626</v>
      </c>
      <c r="P153" s="105">
        <f t="shared" si="87"/>
        <v>142494</v>
      </c>
      <c r="Q153" s="106">
        <f>+L153/H153</f>
        <v>0.87605596069808223</v>
      </c>
    </row>
    <row r="154" spans="1:17">
      <c r="A154" s="127" t="s">
        <v>15</v>
      </c>
      <c r="B154" s="108">
        <f>SUM(B155:B157)</f>
        <v>873186</v>
      </c>
      <c r="C154" s="108">
        <f>SUM(C155:C157)</f>
        <v>135739</v>
      </c>
      <c r="D154" s="108">
        <f>SUM(D155:D157)</f>
        <v>1008925</v>
      </c>
      <c r="E154" s="108">
        <f t="shared" ref="E154:P154" si="88">SUM(E155:E157)</f>
        <v>736191</v>
      </c>
      <c r="F154" s="108">
        <f t="shared" si="88"/>
        <v>208306</v>
      </c>
      <c r="G154" s="108">
        <f t="shared" si="88"/>
        <v>159043</v>
      </c>
      <c r="H154" s="108">
        <f t="shared" si="88"/>
        <v>1103540</v>
      </c>
      <c r="I154" s="141">
        <f>SUM(I155:I157)</f>
        <v>717848</v>
      </c>
      <c r="J154" s="141">
        <f>SUM(J155:J157)</f>
        <v>205781</v>
      </c>
      <c r="K154" s="141">
        <f>SUM(K155:K157)</f>
        <v>83057</v>
      </c>
      <c r="L154" s="141">
        <f>SUM(L155:L157)</f>
        <v>1006686</v>
      </c>
      <c r="M154" s="108">
        <f t="shared" si="88"/>
        <v>18343</v>
      </c>
      <c r="N154" s="111">
        <f t="shared" si="88"/>
        <v>2525</v>
      </c>
      <c r="O154" s="108">
        <f t="shared" si="88"/>
        <v>75986</v>
      </c>
      <c r="P154" s="112">
        <f t="shared" si="88"/>
        <v>96854</v>
      </c>
      <c r="Q154" s="106"/>
    </row>
    <row r="155" spans="1:17">
      <c r="A155" s="113" t="s">
        <v>16</v>
      </c>
      <c r="B155" s="114">
        <f t="shared" ref="B155:G157" si="89">+B164+B173+B182+B191+B200+B209</f>
        <v>819453</v>
      </c>
      <c r="C155" s="114">
        <f t="shared" si="89"/>
        <v>52768</v>
      </c>
      <c r="D155" s="114">
        <f t="shared" si="89"/>
        <v>872221</v>
      </c>
      <c r="E155" s="114">
        <f t="shared" si="89"/>
        <v>596884</v>
      </c>
      <c r="F155" s="114">
        <f t="shared" si="89"/>
        <v>208306</v>
      </c>
      <c r="G155" s="114">
        <f t="shared" si="89"/>
        <v>159043</v>
      </c>
      <c r="H155" s="114">
        <f>SUM(E155:G155)</f>
        <v>964233</v>
      </c>
      <c r="I155" s="143">
        <f t="shared" ref="I155:K157" si="90">+I164+I173+I182+I191+I200+I209</f>
        <v>585390</v>
      </c>
      <c r="J155" s="143">
        <f t="shared" si="90"/>
        <v>205781</v>
      </c>
      <c r="K155" s="143">
        <f t="shared" si="90"/>
        <v>83057</v>
      </c>
      <c r="L155" s="143">
        <f>SUM(I155:K155)</f>
        <v>874228</v>
      </c>
      <c r="M155" s="114">
        <f t="shared" ref="M155:O157" si="91">+E155-I155</f>
        <v>11494</v>
      </c>
      <c r="N155" s="115">
        <f t="shared" si="91"/>
        <v>2525</v>
      </c>
      <c r="O155" s="114">
        <f t="shared" si="91"/>
        <v>75986</v>
      </c>
      <c r="P155" s="116">
        <f>SUM(M155:O155)</f>
        <v>90005</v>
      </c>
      <c r="Q155" s="106"/>
    </row>
    <row r="156" spans="1:17">
      <c r="A156" s="113" t="s">
        <v>17</v>
      </c>
      <c r="B156" s="114">
        <f t="shared" si="89"/>
        <v>0</v>
      </c>
      <c r="C156" s="114">
        <f t="shared" si="89"/>
        <v>82971</v>
      </c>
      <c r="D156" s="114">
        <f t="shared" si="89"/>
        <v>82971</v>
      </c>
      <c r="E156" s="114">
        <f t="shared" si="89"/>
        <v>82971</v>
      </c>
      <c r="F156" s="114">
        <f t="shared" si="89"/>
        <v>0</v>
      </c>
      <c r="G156" s="114">
        <f t="shared" si="89"/>
        <v>0</v>
      </c>
      <c r="H156" s="114">
        <f>SUM(E156:G156)</f>
        <v>82971</v>
      </c>
      <c r="I156" s="143">
        <f t="shared" si="90"/>
        <v>79651</v>
      </c>
      <c r="J156" s="143">
        <f t="shared" si="90"/>
        <v>0</v>
      </c>
      <c r="K156" s="143">
        <f t="shared" si="90"/>
        <v>0</v>
      </c>
      <c r="L156" s="143">
        <f>SUM(I156:K156)</f>
        <v>79651</v>
      </c>
      <c r="M156" s="114">
        <f t="shared" si="91"/>
        <v>3320</v>
      </c>
      <c r="N156" s="115">
        <f t="shared" si="91"/>
        <v>0</v>
      </c>
      <c r="O156" s="114">
        <f t="shared" si="91"/>
        <v>0</v>
      </c>
      <c r="P156" s="116">
        <f>SUM(M156:O156)</f>
        <v>3320</v>
      </c>
      <c r="Q156" s="106"/>
    </row>
    <row r="157" spans="1:17">
      <c r="A157" s="113" t="s">
        <v>18</v>
      </c>
      <c r="B157" s="114">
        <f t="shared" si="89"/>
        <v>53733</v>
      </c>
      <c r="C157" s="114">
        <f t="shared" si="89"/>
        <v>0</v>
      </c>
      <c r="D157" s="114">
        <f t="shared" si="89"/>
        <v>53733</v>
      </c>
      <c r="E157" s="114">
        <f t="shared" si="89"/>
        <v>56336</v>
      </c>
      <c r="F157" s="114">
        <f t="shared" si="89"/>
        <v>0</v>
      </c>
      <c r="G157" s="114">
        <f t="shared" si="89"/>
        <v>0</v>
      </c>
      <c r="H157" s="114">
        <f>SUM(E157:G157)</f>
        <v>56336</v>
      </c>
      <c r="I157" s="143">
        <f t="shared" si="90"/>
        <v>52807</v>
      </c>
      <c r="J157" s="143">
        <f t="shared" si="90"/>
        <v>0</v>
      </c>
      <c r="K157" s="143">
        <f t="shared" si="90"/>
        <v>0</v>
      </c>
      <c r="L157" s="143">
        <f>SUM(I157:K157)</f>
        <v>52807</v>
      </c>
      <c r="M157" s="114">
        <f t="shared" si="91"/>
        <v>3529</v>
      </c>
      <c r="N157" s="115">
        <f t="shared" si="91"/>
        <v>0</v>
      </c>
      <c r="O157" s="114">
        <f t="shared" si="91"/>
        <v>0</v>
      </c>
      <c r="P157" s="116">
        <f>SUM(M157:O157)</f>
        <v>3529</v>
      </c>
      <c r="Q157" s="106"/>
    </row>
    <row r="158" spans="1:17">
      <c r="A158" s="113" t="s">
        <v>19</v>
      </c>
      <c r="B158" s="102">
        <f>SUM(B159:B160)</f>
        <v>0</v>
      </c>
      <c r="C158" s="102">
        <f>SUM(C159:C160)</f>
        <v>45624</v>
      </c>
      <c r="D158" s="102">
        <f>SUM(D159:D160)</f>
        <v>45624</v>
      </c>
      <c r="E158" s="102">
        <f t="shared" ref="E158:P158" si="92">SUM(E159:E160)</f>
        <v>0</v>
      </c>
      <c r="F158" s="102">
        <f t="shared" si="92"/>
        <v>0</v>
      </c>
      <c r="G158" s="102">
        <f t="shared" si="92"/>
        <v>46124</v>
      </c>
      <c r="H158" s="102">
        <f t="shared" si="92"/>
        <v>46124</v>
      </c>
      <c r="I158" s="139">
        <f>SUM(I159:I160)</f>
        <v>0</v>
      </c>
      <c r="J158" s="139">
        <f>SUM(J159:J160)</f>
        <v>0</v>
      </c>
      <c r="K158" s="139">
        <f>SUM(K159:K160)</f>
        <v>484</v>
      </c>
      <c r="L158" s="139">
        <f>SUM(L159:L160)</f>
        <v>484</v>
      </c>
      <c r="M158" s="102">
        <f t="shared" si="92"/>
        <v>0</v>
      </c>
      <c r="N158" s="104">
        <f t="shared" si="92"/>
        <v>0</v>
      </c>
      <c r="O158" s="102">
        <f t="shared" si="92"/>
        <v>45640</v>
      </c>
      <c r="P158" s="105">
        <f t="shared" si="92"/>
        <v>45640</v>
      </c>
      <c r="Q158" s="106"/>
    </row>
    <row r="159" spans="1:17" ht="12.75" customHeight="1">
      <c r="A159" s="113" t="s">
        <v>20</v>
      </c>
      <c r="B159" s="114">
        <f t="shared" ref="B159:G160" si="93">+B168+B177+B186+B195+B204+B213</f>
        <v>0</v>
      </c>
      <c r="C159" s="114">
        <f t="shared" si="93"/>
        <v>45624</v>
      </c>
      <c r="D159" s="114">
        <f t="shared" si="93"/>
        <v>45624</v>
      </c>
      <c r="E159" s="114">
        <f t="shared" si="93"/>
        <v>0</v>
      </c>
      <c r="F159" s="114">
        <f t="shared" si="93"/>
        <v>0</v>
      </c>
      <c r="G159" s="114">
        <f t="shared" si="93"/>
        <v>46124</v>
      </c>
      <c r="H159" s="114">
        <f>SUM(E159:G159)</f>
        <v>46124</v>
      </c>
      <c r="I159" s="143">
        <f t="shared" ref="I159:K160" si="94">+I168+I177+I186+I195+I204+I213</f>
        <v>0</v>
      </c>
      <c r="J159" s="143">
        <f t="shared" si="94"/>
        <v>0</v>
      </c>
      <c r="K159" s="143">
        <f t="shared" si="94"/>
        <v>484</v>
      </c>
      <c r="L159" s="143">
        <f>SUM(I159:K159)</f>
        <v>484</v>
      </c>
      <c r="M159" s="114">
        <f t="shared" ref="M159:O160" si="95">+E159-I159</f>
        <v>0</v>
      </c>
      <c r="N159" s="115">
        <f t="shared" si="95"/>
        <v>0</v>
      </c>
      <c r="O159" s="114">
        <f t="shared" si="95"/>
        <v>45640</v>
      </c>
      <c r="P159" s="116">
        <f>SUM(M159:O159)</f>
        <v>45640</v>
      </c>
      <c r="Q159" s="106"/>
    </row>
    <row r="160" spans="1:17" ht="12.75" customHeight="1">
      <c r="A160" s="113" t="s">
        <v>21</v>
      </c>
      <c r="B160" s="114">
        <f t="shared" si="93"/>
        <v>0</v>
      </c>
      <c r="C160" s="114">
        <f t="shared" si="93"/>
        <v>0</v>
      </c>
      <c r="D160" s="114">
        <f t="shared" si="93"/>
        <v>0</v>
      </c>
      <c r="E160" s="114">
        <f t="shared" si="93"/>
        <v>0</v>
      </c>
      <c r="F160" s="114">
        <f t="shared" si="93"/>
        <v>0</v>
      </c>
      <c r="G160" s="114">
        <f t="shared" si="93"/>
        <v>0</v>
      </c>
      <c r="H160" s="114">
        <f>SUM(E160:G160)</f>
        <v>0</v>
      </c>
      <c r="I160" s="143">
        <f t="shared" si="94"/>
        <v>0</v>
      </c>
      <c r="J160" s="143">
        <f t="shared" si="94"/>
        <v>0</v>
      </c>
      <c r="K160" s="143">
        <f t="shared" si="94"/>
        <v>0</v>
      </c>
      <c r="L160" s="143">
        <f>SUM(I160:K160)</f>
        <v>0</v>
      </c>
      <c r="M160" s="114">
        <f t="shared" si="95"/>
        <v>0</v>
      </c>
      <c r="N160" s="115">
        <f t="shared" si="95"/>
        <v>0</v>
      </c>
      <c r="O160" s="114">
        <f t="shared" si="95"/>
        <v>0</v>
      </c>
      <c r="P160" s="116">
        <f>SUM(M160:O160)</f>
        <v>0</v>
      </c>
      <c r="Q160" s="106"/>
    </row>
    <row r="161" spans="1:17">
      <c r="A161" s="145"/>
      <c r="B161" s="146"/>
      <c r="C161" s="146"/>
      <c r="D161" s="146"/>
      <c r="E161" s="114"/>
      <c r="F161" s="114"/>
      <c r="G161" s="114"/>
      <c r="H161" s="114"/>
      <c r="I161" s="43"/>
      <c r="J161" s="43"/>
      <c r="K161" s="43"/>
      <c r="L161" s="78"/>
      <c r="M161" s="114"/>
      <c r="N161" s="115"/>
      <c r="O161" s="114"/>
      <c r="P161" s="116"/>
      <c r="Q161" s="106"/>
    </row>
    <row r="162" spans="1:17">
      <c r="A162" s="135" t="s">
        <v>238</v>
      </c>
      <c r="B162" s="102">
        <f>+B163+B167</f>
        <v>107614</v>
      </c>
      <c r="C162" s="102">
        <f>+C163+C167</f>
        <v>11737</v>
      </c>
      <c r="D162" s="102">
        <f>+D163+D167</f>
        <v>119351</v>
      </c>
      <c r="E162" s="102">
        <f t="shared" ref="E162:P162" si="96">+E163+E167</f>
        <v>87957</v>
      </c>
      <c r="F162" s="102">
        <f t="shared" si="96"/>
        <v>31620</v>
      </c>
      <c r="G162" s="102">
        <f t="shared" si="96"/>
        <v>0</v>
      </c>
      <c r="H162" s="102">
        <f t="shared" si="96"/>
        <v>119577</v>
      </c>
      <c r="I162" s="45">
        <f t="shared" si="96"/>
        <v>81329</v>
      </c>
      <c r="J162" s="45">
        <f t="shared" si="96"/>
        <v>31618</v>
      </c>
      <c r="K162" s="45">
        <f t="shared" si="96"/>
        <v>0</v>
      </c>
      <c r="L162" s="103">
        <f t="shared" si="96"/>
        <v>112947</v>
      </c>
      <c r="M162" s="102">
        <f t="shared" si="96"/>
        <v>6628</v>
      </c>
      <c r="N162" s="104">
        <f t="shared" si="96"/>
        <v>2</v>
      </c>
      <c r="O162" s="102">
        <f t="shared" si="96"/>
        <v>0</v>
      </c>
      <c r="P162" s="105">
        <f t="shared" si="96"/>
        <v>6630</v>
      </c>
      <c r="Q162" s="106">
        <f>+L162/H162</f>
        <v>0.94455455480569006</v>
      </c>
    </row>
    <row r="163" spans="1:17">
      <c r="A163" s="127" t="s">
        <v>15</v>
      </c>
      <c r="B163" s="108">
        <f>SUM(B164:B166)</f>
        <v>107614</v>
      </c>
      <c r="C163" s="108">
        <f>SUM(C164:C166)</f>
        <v>11737</v>
      </c>
      <c r="D163" s="108">
        <f>SUM(D164:D166)</f>
        <v>119351</v>
      </c>
      <c r="E163" s="108">
        <f t="shared" ref="E163:P163" si="97">SUM(E164:E166)</f>
        <v>87957</v>
      </c>
      <c r="F163" s="108">
        <f t="shared" si="97"/>
        <v>31620</v>
      </c>
      <c r="G163" s="108">
        <f t="shared" si="97"/>
        <v>0</v>
      </c>
      <c r="H163" s="108">
        <f t="shared" si="97"/>
        <v>119577</v>
      </c>
      <c r="I163" s="109">
        <f>SUM(I164:I166)</f>
        <v>81329</v>
      </c>
      <c r="J163" s="109">
        <f>SUM(J164:J166)</f>
        <v>31618</v>
      </c>
      <c r="K163" s="109">
        <f>SUM(K164:K166)</f>
        <v>0</v>
      </c>
      <c r="L163" s="110">
        <f>SUM(L164:L166)</f>
        <v>112947</v>
      </c>
      <c r="M163" s="108">
        <f t="shared" si="97"/>
        <v>6628</v>
      </c>
      <c r="N163" s="111">
        <f t="shared" si="97"/>
        <v>2</v>
      </c>
      <c r="O163" s="108">
        <f t="shared" si="97"/>
        <v>0</v>
      </c>
      <c r="P163" s="112">
        <f t="shared" si="97"/>
        <v>6630</v>
      </c>
      <c r="Q163" s="106"/>
    </row>
    <row r="164" spans="1:17">
      <c r="A164" s="113" t="s">
        <v>16</v>
      </c>
      <c r="B164" s="114">
        <v>101203</v>
      </c>
      <c r="C164" s="114"/>
      <c r="D164" s="114">
        <f>+B164+C164</f>
        <v>101203</v>
      </c>
      <c r="E164" s="114">
        <v>69583</v>
      </c>
      <c r="F164" s="114">
        <v>31620</v>
      </c>
      <c r="G164" s="114"/>
      <c r="H164" s="114">
        <f>SUM(E164:G164)</f>
        <v>101203</v>
      </c>
      <c r="I164" s="43">
        <v>64625</v>
      </c>
      <c r="J164" s="43">
        <v>31618</v>
      </c>
      <c r="K164" s="43"/>
      <c r="L164" s="78">
        <f>SUM(I164:K164)</f>
        <v>96243</v>
      </c>
      <c r="M164" s="114">
        <f t="shared" ref="M164:O166" si="98">+E164-I164</f>
        <v>4958</v>
      </c>
      <c r="N164" s="115">
        <f t="shared" si="98"/>
        <v>2</v>
      </c>
      <c r="O164" s="114">
        <f t="shared" si="98"/>
        <v>0</v>
      </c>
      <c r="P164" s="116">
        <f>SUM(M164:O164)</f>
        <v>4960</v>
      </c>
      <c r="Q164" s="106"/>
    </row>
    <row r="165" spans="1:17">
      <c r="A165" s="113" t="s">
        <v>17</v>
      </c>
      <c r="B165" s="114"/>
      <c r="C165" s="114">
        <f>+H165</f>
        <v>11737</v>
      </c>
      <c r="D165" s="114">
        <f>+B165+C165</f>
        <v>11737</v>
      </c>
      <c r="E165" s="114">
        <v>11737</v>
      </c>
      <c r="F165" s="114"/>
      <c r="G165" s="114"/>
      <c r="H165" s="114">
        <f>SUM(E165:G165)</f>
        <v>11737</v>
      </c>
      <c r="I165" s="43">
        <v>11737</v>
      </c>
      <c r="J165" s="43"/>
      <c r="K165" s="43"/>
      <c r="L165" s="78">
        <f>SUM(I165:K165)</f>
        <v>11737</v>
      </c>
      <c r="M165" s="114">
        <f t="shared" si="98"/>
        <v>0</v>
      </c>
      <c r="N165" s="115">
        <f t="shared" si="98"/>
        <v>0</v>
      </c>
      <c r="O165" s="114">
        <f t="shared" si="98"/>
        <v>0</v>
      </c>
      <c r="P165" s="116">
        <f>SUM(M165:O165)</f>
        <v>0</v>
      </c>
      <c r="Q165" s="106"/>
    </row>
    <row r="166" spans="1:17">
      <c r="A166" s="113" t="s">
        <v>18</v>
      </c>
      <c r="B166" s="114">
        <v>6411</v>
      </c>
      <c r="C166" s="114"/>
      <c r="D166" s="114">
        <f>+B166+C166</f>
        <v>6411</v>
      </c>
      <c r="E166" s="114">
        <v>6637</v>
      </c>
      <c r="F166" s="114"/>
      <c r="G166" s="114"/>
      <c r="H166" s="114">
        <f>SUM(E166:G166)</f>
        <v>6637</v>
      </c>
      <c r="I166" s="43">
        <v>4967</v>
      </c>
      <c r="J166" s="43"/>
      <c r="K166" s="43"/>
      <c r="L166" s="78">
        <f>SUM(I166:K166)</f>
        <v>4967</v>
      </c>
      <c r="M166" s="114">
        <f t="shared" si="98"/>
        <v>1670</v>
      </c>
      <c r="N166" s="115">
        <f t="shared" si="98"/>
        <v>0</v>
      </c>
      <c r="O166" s="114">
        <f t="shared" si="98"/>
        <v>0</v>
      </c>
      <c r="P166" s="116">
        <f>SUM(M166:O166)</f>
        <v>1670</v>
      </c>
      <c r="Q166" s="106"/>
    </row>
    <row r="167" spans="1:17">
      <c r="A167" s="113" t="s">
        <v>19</v>
      </c>
      <c r="B167" s="102">
        <f>SUM(B168:B169)</f>
        <v>0</v>
      </c>
      <c r="C167" s="102">
        <f>SUM(C168:C169)</f>
        <v>0</v>
      </c>
      <c r="D167" s="102">
        <f>SUM(D168:D169)</f>
        <v>0</v>
      </c>
      <c r="E167" s="102">
        <f t="shared" ref="E167:P167" si="99">SUM(E168:E169)</f>
        <v>0</v>
      </c>
      <c r="F167" s="102">
        <f t="shared" si="99"/>
        <v>0</v>
      </c>
      <c r="G167" s="102">
        <f t="shared" si="99"/>
        <v>0</v>
      </c>
      <c r="H167" s="102">
        <f t="shared" si="99"/>
        <v>0</v>
      </c>
      <c r="I167" s="45">
        <f>SUM(I168:I169)</f>
        <v>0</v>
      </c>
      <c r="J167" s="45">
        <f>SUM(J168:J169)</f>
        <v>0</v>
      </c>
      <c r="K167" s="45">
        <f>SUM(K168:K169)</f>
        <v>0</v>
      </c>
      <c r="L167" s="103">
        <f>SUM(L168:L169)</f>
        <v>0</v>
      </c>
      <c r="M167" s="102">
        <f t="shared" si="99"/>
        <v>0</v>
      </c>
      <c r="N167" s="104">
        <f t="shared" si="99"/>
        <v>0</v>
      </c>
      <c r="O167" s="102">
        <f t="shared" si="99"/>
        <v>0</v>
      </c>
      <c r="P167" s="105">
        <f t="shared" si="99"/>
        <v>0</v>
      </c>
      <c r="Q167" s="106"/>
    </row>
    <row r="168" spans="1:17" ht="12.75" customHeight="1">
      <c r="A168" s="113" t="s">
        <v>20</v>
      </c>
      <c r="B168" s="114"/>
      <c r="C168" s="114"/>
      <c r="D168" s="114">
        <f>+B168+C168</f>
        <v>0</v>
      </c>
      <c r="E168" s="114"/>
      <c r="F168" s="114"/>
      <c r="G168" s="114"/>
      <c r="H168" s="114">
        <f>SUM(E168:G168)</f>
        <v>0</v>
      </c>
      <c r="I168" s="43"/>
      <c r="J168" s="43"/>
      <c r="K168" s="43"/>
      <c r="L168" s="78">
        <f>SUM(I168:K168)</f>
        <v>0</v>
      </c>
      <c r="M168" s="114">
        <f t="shared" ref="M168:O169" si="100">+E168-I168</f>
        <v>0</v>
      </c>
      <c r="N168" s="115">
        <f t="shared" si="100"/>
        <v>0</v>
      </c>
      <c r="O168" s="114">
        <f t="shared" si="100"/>
        <v>0</v>
      </c>
      <c r="P168" s="116">
        <f>SUM(M168:O168)</f>
        <v>0</v>
      </c>
      <c r="Q168" s="106"/>
    </row>
    <row r="169" spans="1:17" ht="12.75" customHeight="1">
      <c r="A169" s="113" t="s">
        <v>21</v>
      </c>
      <c r="B169" s="114"/>
      <c r="C169" s="114">
        <f>+H169</f>
        <v>0</v>
      </c>
      <c r="D169" s="114">
        <f>+B169+C169</f>
        <v>0</v>
      </c>
      <c r="E169" s="114"/>
      <c r="F169" s="114"/>
      <c r="G169" s="114"/>
      <c r="H169" s="114">
        <f>SUM(E169:G169)</f>
        <v>0</v>
      </c>
      <c r="I169" s="43"/>
      <c r="J169" s="43"/>
      <c r="K169" s="43"/>
      <c r="L169" s="78">
        <f>SUM(I169:K169)</f>
        <v>0</v>
      </c>
      <c r="M169" s="114">
        <f t="shared" si="100"/>
        <v>0</v>
      </c>
      <c r="N169" s="115">
        <f t="shared" si="100"/>
        <v>0</v>
      </c>
      <c r="O169" s="114">
        <f t="shared" si="100"/>
        <v>0</v>
      </c>
      <c r="P169" s="116">
        <f>SUM(M169:O169)</f>
        <v>0</v>
      </c>
      <c r="Q169" s="106"/>
    </row>
    <row r="170" spans="1:17" ht="12.75" customHeight="1">
      <c r="A170" s="127"/>
      <c r="B170" s="137"/>
      <c r="C170" s="137"/>
      <c r="D170" s="137"/>
      <c r="E170" s="114"/>
      <c r="F170" s="114"/>
      <c r="G170" s="114"/>
      <c r="H170" s="114"/>
      <c r="I170" s="43"/>
      <c r="J170" s="43"/>
      <c r="K170" s="43"/>
      <c r="L170" s="78"/>
      <c r="M170" s="114"/>
      <c r="N170" s="115"/>
      <c r="O170" s="114"/>
      <c r="P170" s="116"/>
      <c r="Q170" s="106"/>
    </row>
    <row r="171" spans="1:17" ht="12.75" customHeight="1">
      <c r="A171" s="135" t="s">
        <v>239</v>
      </c>
      <c r="B171" s="102">
        <f>+B172+B176</f>
        <v>58699</v>
      </c>
      <c r="C171" s="102">
        <f>+C172+C176</f>
        <v>4737</v>
      </c>
      <c r="D171" s="102">
        <f>+D172+D176</f>
        <v>63436</v>
      </c>
      <c r="E171" s="102">
        <f t="shared" ref="E171:P171" si="101">+E172+E176</f>
        <v>47245</v>
      </c>
      <c r="F171" s="102">
        <f t="shared" si="101"/>
        <v>10866</v>
      </c>
      <c r="G171" s="102">
        <f t="shared" si="101"/>
        <v>22015</v>
      </c>
      <c r="H171" s="102">
        <f t="shared" si="101"/>
        <v>80126</v>
      </c>
      <c r="I171" s="45">
        <f t="shared" si="101"/>
        <v>47245</v>
      </c>
      <c r="J171" s="45">
        <f t="shared" si="101"/>
        <v>10866</v>
      </c>
      <c r="K171" s="45">
        <f t="shared" si="101"/>
        <v>2186</v>
      </c>
      <c r="L171" s="103">
        <f t="shared" si="101"/>
        <v>60297</v>
      </c>
      <c r="M171" s="102">
        <f t="shared" si="101"/>
        <v>0</v>
      </c>
      <c r="N171" s="104">
        <f t="shared" si="101"/>
        <v>0</v>
      </c>
      <c r="O171" s="102">
        <f t="shared" si="101"/>
        <v>19829</v>
      </c>
      <c r="P171" s="105">
        <f t="shared" si="101"/>
        <v>19829</v>
      </c>
      <c r="Q171" s="106">
        <f>+L171/H171</f>
        <v>0.75252726955045801</v>
      </c>
    </row>
    <row r="172" spans="1:17" ht="12.75" customHeight="1">
      <c r="A172" s="127" t="s">
        <v>15</v>
      </c>
      <c r="B172" s="108">
        <f>SUM(B173:B175)</f>
        <v>58699</v>
      </c>
      <c r="C172" s="108">
        <f>SUM(C173:C175)</f>
        <v>4737</v>
      </c>
      <c r="D172" s="108">
        <f>SUM(D173:D175)</f>
        <v>63436</v>
      </c>
      <c r="E172" s="108">
        <f t="shared" ref="E172:P172" si="102">SUM(E173:E175)</f>
        <v>47245</v>
      </c>
      <c r="F172" s="108">
        <f t="shared" si="102"/>
        <v>10866</v>
      </c>
      <c r="G172" s="108">
        <f t="shared" si="102"/>
        <v>22015</v>
      </c>
      <c r="H172" s="108">
        <f t="shared" si="102"/>
        <v>80126</v>
      </c>
      <c r="I172" s="109">
        <f>SUM(I173:I175)</f>
        <v>47245</v>
      </c>
      <c r="J172" s="109">
        <f>SUM(J173:J175)</f>
        <v>10866</v>
      </c>
      <c r="K172" s="109">
        <f>SUM(K173:K175)</f>
        <v>2186</v>
      </c>
      <c r="L172" s="110">
        <f>SUM(L173:L175)</f>
        <v>60297</v>
      </c>
      <c r="M172" s="108">
        <f t="shared" si="102"/>
        <v>0</v>
      </c>
      <c r="N172" s="111">
        <f t="shared" si="102"/>
        <v>0</v>
      </c>
      <c r="O172" s="108">
        <f t="shared" si="102"/>
        <v>19829</v>
      </c>
      <c r="P172" s="112">
        <f t="shared" si="102"/>
        <v>19829</v>
      </c>
      <c r="Q172" s="106"/>
    </row>
    <row r="173" spans="1:17" ht="12.75" customHeight="1">
      <c r="A173" s="113" t="s">
        <v>16</v>
      </c>
      <c r="B173" s="114">
        <v>55132</v>
      </c>
      <c r="C173" s="114"/>
      <c r="D173" s="114">
        <f>+B173+C173</f>
        <v>55132</v>
      </c>
      <c r="E173" s="114">
        <v>38903</v>
      </c>
      <c r="F173" s="114">
        <v>10866</v>
      </c>
      <c r="G173" s="114">
        <v>22015</v>
      </c>
      <c r="H173" s="114">
        <f>SUM(E173:G173)</f>
        <v>71784</v>
      </c>
      <c r="I173" s="43">
        <f>39371-468</f>
        <v>38903</v>
      </c>
      <c r="J173" s="43">
        <v>10866</v>
      </c>
      <c r="K173" s="43">
        <v>2186</v>
      </c>
      <c r="L173" s="78">
        <f>SUM(I173:K173)</f>
        <v>51955</v>
      </c>
      <c r="M173" s="114">
        <f t="shared" ref="M173:O175" si="103">+E173-I173</f>
        <v>0</v>
      </c>
      <c r="N173" s="115">
        <f t="shared" si="103"/>
        <v>0</v>
      </c>
      <c r="O173" s="114">
        <f t="shared" si="103"/>
        <v>19829</v>
      </c>
      <c r="P173" s="116">
        <f>SUM(M173:O173)</f>
        <v>19829</v>
      </c>
      <c r="Q173" s="106"/>
    </row>
    <row r="174" spans="1:17" ht="12.75" customHeight="1">
      <c r="A174" s="113" t="s">
        <v>17</v>
      </c>
      <c r="B174" s="114"/>
      <c r="C174" s="114">
        <f>+H174</f>
        <v>4737</v>
      </c>
      <c r="D174" s="114">
        <f>+B174+C174</f>
        <v>4737</v>
      </c>
      <c r="E174" s="114">
        <v>4737</v>
      </c>
      <c r="F174" s="114"/>
      <c r="G174" s="114"/>
      <c r="H174" s="114">
        <f>SUM(E174:G174)</f>
        <v>4737</v>
      </c>
      <c r="I174" s="43">
        <f>4348+389</f>
        <v>4737</v>
      </c>
      <c r="J174" s="43"/>
      <c r="K174" s="43"/>
      <c r="L174" s="78">
        <f>SUM(I174:K174)</f>
        <v>4737</v>
      </c>
      <c r="M174" s="114">
        <f t="shared" si="103"/>
        <v>0</v>
      </c>
      <c r="N174" s="115">
        <f t="shared" si="103"/>
        <v>0</v>
      </c>
      <c r="O174" s="114">
        <f t="shared" si="103"/>
        <v>0</v>
      </c>
      <c r="P174" s="116">
        <f>SUM(M174:O174)</f>
        <v>0</v>
      </c>
      <c r="Q174" s="106"/>
    </row>
    <row r="175" spans="1:17" ht="12.75" customHeight="1">
      <c r="A175" s="113" t="s">
        <v>18</v>
      </c>
      <c r="B175" s="114">
        <v>3567</v>
      </c>
      <c r="C175" s="114"/>
      <c r="D175" s="114">
        <f>+B175+C175</f>
        <v>3567</v>
      </c>
      <c r="E175" s="114">
        <v>3605</v>
      </c>
      <c r="F175" s="114"/>
      <c r="G175" s="114"/>
      <c r="H175" s="114">
        <f>SUM(E175:G175)</f>
        <v>3605</v>
      </c>
      <c r="I175" s="43">
        <f>3526+79</f>
        <v>3605</v>
      </c>
      <c r="J175" s="43"/>
      <c r="K175" s="43"/>
      <c r="L175" s="78">
        <f>SUM(I175:K175)</f>
        <v>3605</v>
      </c>
      <c r="M175" s="114">
        <f t="shared" si="103"/>
        <v>0</v>
      </c>
      <c r="N175" s="115">
        <f t="shared" si="103"/>
        <v>0</v>
      </c>
      <c r="O175" s="114">
        <f t="shared" si="103"/>
        <v>0</v>
      </c>
      <c r="P175" s="116">
        <f>SUM(M175:O175)</f>
        <v>0</v>
      </c>
      <c r="Q175" s="106"/>
    </row>
    <row r="176" spans="1:17" ht="12.75" customHeight="1">
      <c r="A176" s="113" t="s">
        <v>19</v>
      </c>
      <c r="B176" s="102">
        <f>SUM(B177:B178)</f>
        <v>0</v>
      </c>
      <c r="C176" s="102">
        <f>SUM(C177:C178)</f>
        <v>0</v>
      </c>
      <c r="D176" s="102">
        <f>SUM(D177:D178)</f>
        <v>0</v>
      </c>
      <c r="E176" s="102">
        <f t="shared" ref="E176:P176" si="104">SUM(E177:E178)</f>
        <v>0</v>
      </c>
      <c r="F176" s="102">
        <f t="shared" si="104"/>
        <v>0</v>
      </c>
      <c r="G176" s="102">
        <f t="shared" si="104"/>
        <v>0</v>
      </c>
      <c r="H176" s="102">
        <f t="shared" si="104"/>
        <v>0</v>
      </c>
      <c r="I176" s="45">
        <f>SUM(I177:I178)</f>
        <v>0</v>
      </c>
      <c r="J176" s="45">
        <f>SUM(J177:J178)</f>
        <v>0</v>
      </c>
      <c r="K176" s="45">
        <f>SUM(K177:K178)</f>
        <v>0</v>
      </c>
      <c r="L176" s="103">
        <f>SUM(L177:L178)</f>
        <v>0</v>
      </c>
      <c r="M176" s="102">
        <f t="shared" si="104"/>
        <v>0</v>
      </c>
      <c r="N176" s="104">
        <f t="shared" si="104"/>
        <v>0</v>
      </c>
      <c r="O176" s="102">
        <f t="shared" si="104"/>
        <v>0</v>
      </c>
      <c r="P176" s="105">
        <f t="shared" si="104"/>
        <v>0</v>
      </c>
      <c r="Q176" s="106"/>
    </row>
    <row r="177" spans="1:17" ht="12.75" customHeight="1">
      <c r="A177" s="113" t="s">
        <v>20</v>
      </c>
      <c r="B177" s="114"/>
      <c r="C177" s="114">
        <f>+H177</f>
        <v>0</v>
      </c>
      <c r="D177" s="114">
        <f>+B177+C177</f>
        <v>0</v>
      </c>
      <c r="E177" s="114"/>
      <c r="F177" s="114"/>
      <c r="G177" s="114"/>
      <c r="H177" s="114">
        <f>SUM(E177:G177)</f>
        <v>0</v>
      </c>
      <c r="I177" s="43"/>
      <c r="J177" s="43"/>
      <c r="K177" s="43"/>
      <c r="L177" s="78">
        <f>SUM(I177:K177)</f>
        <v>0</v>
      </c>
      <c r="M177" s="114">
        <f t="shared" ref="M177:O178" si="105">+E177-I177</f>
        <v>0</v>
      </c>
      <c r="N177" s="115">
        <f t="shared" si="105"/>
        <v>0</v>
      </c>
      <c r="O177" s="114">
        <f t="shared" si="105"/>
        <v>0</v>
      </c>
      <c r="P177" s="116">
        <f>SUM(M177:O177)</f>
        <v>0</v>
      </c>
      <c r="Q177" s="106"/>
    </row>
    <row r="178" spans="1:17" ht="12.75" customHeight="1">
      <c r="A178" s="113" t="s">
        <v>21</v>
      </c>
      <c r="B178" s="114"/>
      <c r="C178" s="114">
        <f>+H178</f>
        <v>0</v>
      </c>
      <c r="D178" s="114">
        <f>+B178+C178</f>
        <v>0</v>
      </c>
      <c r="E178" s="114"/>
      <c r="F178" s="114"/>
      <c r="G178" s="114"/>
      <c r="H178" s="114">
        <f>SUM(E178:G178)</f>
        <v>0</v>
      </c>
      <c r="I178" s="43"/>
      <c r="J178" s="43"/>
      <c r="K178" s="43"/>
      <c r="L178" s="78">
        <f>SUM(I178:K178)</f>
        <v>0</v>
      </c>
      <c r="M178" s="114">
        <f t="shared" si="105"/>
        <v>0</v>
      </c>
      <c r="N178" s="115">
        <f t="shared" si="105"/>
        <v>0</v>
      </c>
      <c r="O178" s="114">
        <f t="shared" si="105"/>
        <v>0</v>
      </c>
      <c r="P178" s="116">
        <f>SUM(M178:O178)</f>
        <v>0</v>
      </c>
      <c r="Q178" s="106"/>
    </row>
    <row r="179" spans="1:17" ht="12.75" customHeight="1">
      <c r="A179" s="127"/>
      <c r="B179" s="137"/>
      <c r="C179" s="137"/>
      <c r="D179" s="137"/>
      <c r="E179" s="114"/>
      <c r="F179" s="114"/>
      <c r="G179" s="114"/>
      <c r="H179" s="114"/>
      <c r="I179" s="43"/>
      <c r="J179" s="43"/>
      <c r="K179" s="43"/>
      <c r="L179" s="78"/>
      <c r="M179" s="114"/>
      <c r="N179" s="115"/>
      <c r="O179" s="114"/>
      <c r="P179" s="116"/>
      <c r="Q179" s="106"/>
    </row>
    <row r="180" spans="1:17" ht="12.75" customHeight="1">
      <c r="A180" s="120" t="s">
        <v>240</v>
      </c>
      <c r="B180" s="102">
        <f>+B181+B185</f>
        <v>367665</v>
      </c>
      <c r="C180" s="102">
        <f>+C181+C185</f>
        <v>57120</v>
      </c>
      <c r="D180" s="102">
        <f>+D181+D185</f>
        <v>424785</v>
      </c>
      <c r="E180" s="102">
        <f t="shared" ref="E180:P180" si="106">+E181+E185</f>
        <v>306749</v>
      </c>
      <c r="F180" s="102">
        <f t="shared" si="106"/>
        <v>72749</v>
      </c>
      <c r="G180" s="102">
        <f t="shared" si="106"/>
        <v>101698</v>
      </c>
      <c r="H180" s="102">
        <f t="shared" si="106"/>
        <v>481196</v>
      </c>
      <c r="I180" s="45">
        <f t="shared" si="106"/>
        <v>303430</v>
      </c>
      <c r="J180" s="45">
        <f t="shared" si="106"/>
        <v>70737</v>
      </c>
      <c r="K180" s="45">
        <f t="shared" si="106"/>
        <v>10450</v>
      </c>
      <c r="L180" s="103">
        <f t="shared" si="106"/>
        <v>384617</v>
      </c>
      <c r="M180" s="102">
        <f t="shared" si="106"/>
        <v>3319</v>
      </c>
      <c r="N180" s="104">
        <f t="shared" si="106"/>
        <v>2012</v>
      </c>
      <c r="O180" s="102">
        <f t="shared" si="106"/>
        <v>91248</v>
      </c>
      <c r="P180" s="105">
        <f t="shared" si="106"/>
        <v>96579</v>
      </c>
      <c r="Q180" s="106">
        <f>+L180/H180</f>
        <v>0.79929384284158633</v>
      </c>
    </row>
    <row r="181" spans="1:17" ht="12.75" customHeight="1">
      <c r="A181" s="127" t="s">
        <v>15</v>
      </c>
      <c r="B181" s="108">
        <f>SUM(B182:B184)</f>
        <v>367665</v>
      </c>
      <c r="C181" s="108">
        <f>SUM(C182:C184)</f>
        <v>11496</v>
      </c>
      <c r="D181" s="108">
        <f>SUM(D182:D184)</f>
        <v>379161</v>
      </c>
      <c r="E181" s="108">
        <f t="shared" ref="E181:P181" si="107">SUM(E182:E184)</f>
        <v>306749</v>
      </c>
      <c r="F181" s="108">
        <f t="shared" si="107"/>
        <v>72749</v>
      </c>
      <c r="G181" s="108">
        <f t="shared" si="107"/>
        <v>56074</v>
      </c>
      <c r="H181" s="108">
        <f t="shared" si="107"/>
        <v>435572</v>
      </c>
      <c r="I181" s="109">
        <f>SUM(I182:I184)</f>
        <v>303430</v>
      </c>
      <c r="J181" s="109">
        <f>SUM(J182:J184)</f>
        <v>70737</v>
      </c>
      <c r="K181" s="109">
        <f>SUM(K182:K184)</f>
        <v>10450</v>
      </c>
      <c r="L181" s="110">
        <f>SUM(L182:L184)</f>
        <v>384617</v>
      </c>
      <c r="M181" s="108">
        <f t="shared" si="107"/>
        <v>3319</v>
      </c>
      <c r="N181" s="111">
        <f t="shared" si="107"/>
        <v>2012</v>
      </c>
      <c r="O181" s="108">
        <f t="shared" si="107"/>
        <v>45624</v>
      </c>
      <c r="P181" s="112">
        <f t="shared" si="107"/>
        <v>50955</v>
      </c>
      <c r="Q181" s="106"/>
    </row>
    <row r="182" spans="1:17" ht="12.75" customHeight="1">
      <c r="A182" s="113" t="s">
        <v>16</v>
      </c>
      <c r="B182" s="114">
        <v>344039</v>
      </c>
      <c r="C182" s="114"/>
      <c r="D182" s="114">
        <f>+B182+C182</f>
        <v>344039</v>
      </c>
      <c r="E182" s="114">
        <v>271290</v>
      </c>
      <c r="F182" s="114">
        <v>72749</v>
      </c>
      <c r="G182" s="114">
        <v>56074</v>
      </c>
      <c r="H182" s="114">
        <f>SUM(E182:G182)</f>
        <v>400113</v>
      </c>
      <c r="I182" s="43">
        <f>285052-13762</f>
        <v>271290</v>
      </c>
      <c r="J182" s="43">
        <f>56975+13762</f>
        <v>70737</v>
      </c>
      <c r="K182" s="43">
        <v>10450</v>
      </c>
      <c r="L182" s="78">
        <f>SUM(I182:K182)</f>
        <v>352477</v>
      </c>
      <c r="M182" s="114">
        <f t="shared" ref="M182:O184" si="108">+E182-I182</f>
        <v>0</v>
      </c>
      <c r="N182" s="115">
        <f t="shared" si="108"/>
        <v>2012</v>
      </c>
      <c r="O182" s="114">
        <f t="shared" si="108"/>
        <v>45624</v>
      </c>
      <c r="P182" s="116">
        <f>SUM(M182:O182)</f>
        <v>47636</v>
      </c>
      <c r="Q182" s="106"/>
    </row>
    <row r="183" spans="1:17" ht="12.75" customHeight="1">
      <c r="A183" s="113" t="s">
        <v>17</v>
      </c>
      <c r="B183" s="114"/>
      <c r="C183" s="114">
        <f>+H183</f>
        <v>11496</v>
      </c>
      <c r="D183" s="114">
        <f>+B183+C183</f>
        <v>11496</v>
      </c>
      <c r="E183" s="114">
        <v>11496</v>
      </c>
      <c r="F183" s="114"/>
      <c r="G183" s="114"/>
      <c r="H183" s="114">
        <f>SUM(E183:G183)</f>
        <v>11496</v>
      </c>
      <c r="I183" s="43">
        <f>7441+736</f>
        <v>8177</v>
      </c>
      <c r="J183" s="43"/>
      <c r="K183" s="43"/>
      <c r="L183" s="78">
        <f>SUM(I183:K183)</f>
        <v>8177</v>
      </c>
      <c r="M183" s="114">
        <f t="shared" si="108"/>
        <v>3319</v>
      </c>
      <c r="N183" s="115">
        <f t="shared" si="108"/>
        <v>0</v>
      </c>
      <c r="O183" s="114">
        <f t="shared" si="108"/>
        <v>0</v>
      </c>
      <c r="P183" s="116">
        <f>SUM(M183:O183)</f>
        <v>3319</v>
      </c>
      <c r="Q183" s="106"/>
    </row>
    <row r="184" spans="1:17" ht="12.75" customHeight="1">
      <c r="A184" s="113" t="s">
        <v>18</v>
      </c>
      <c r="B184" s="114">
        <v>23626</v>
      </c>
      <c r="C184" s="114"/>
      <c r="D184" s="114">
        <f>+B184+C184</f>
        <v>23626</v>
      </c>
      <c r="E184" s="114">
        <v>23963</v>
      </c>
      <c r="F184" s="114"/>
      <c r="G184" s="114"/>
      <c r="H184" s="114">
        <f>SUM(E184:G184)</f>
        <v>23963</v>
      </c>
      <c r="I184" s="43">
        <f>24699-736</f>
        <v>23963</v>
      </c>
      <c r="J184" s="43"/>
      <c r="K184" s="43"/>
      <c r="L184" s="78">
        <f>SUM(I184:K184)</f>
        <v>23963</v>
      </c>
      <c r="M184" s="114">
        <f t="shared" si="108"/>
        <v>0</v>
      </c>
      <c r="N184" s="115">
        <f t="shared" si="108"/>
        <v>0</v>
      </c>
      <c r="O184" s="114">
        <f t="shared" si="108"/>
        <v>0</v>
      </c>
      <c r="P184" s="116">
        <f>SUM(M184:O184)</f>
        <v>0</v>
      </c>
      <c r="Q184" s="106"/>
    </row>
    <row r="185" spans="1:17" ht="12.75" customHeight="1">
      <c r="A185" s="113" t="s">
        <v>19</v>
      </c>
      <c r="B185" s="102">
        <f>SUM(B186:B187)</f>
        <v>0</v>
      </c>
      <c r="C185" s="102">
        <f>SUM(C186:C187)</f>
        <v>45624</v>
      </c>
      <c r="D185" s="102">
        <f>SUM(D186:D187)</f>
        <v>45624</v>
      </c>
      <c r="E185" s="102">
        <f t="shared" ref="E185:P185" si="109">SUM(E186:E187)</f>
        <v>0</v>
      </c>
      <c r="F185" s="102">
        <f t="shared" si="109"/>
        <v>0</v>
      </c>
      <c r="G185" s="102">
        <f t="shared" si="109"/>
        <v>45624</v>
      </c>
      <c r="H185" s="102">
        <f t="shared" si="109"/>
        <v>45624</v>
      </c>
      <c r="I185" s="45">
        <f>SUM(I186:I187)</f>
        <v>0</v>
      </c>
      <c r="J185" s="45">
        <f>SUM(J186:J187)</f>
        <v>0</v>
      </c>
      <c r="K185" s="45">
        <f>SUM(K186:K187)</f>
        <v>0</v>
      </c>
      <c r="L185" s="103">
        <f>SUM(L186:L187)</f>
        <v>0</v>
      </c>
      <c r="M185" s="102">
        <f t="shared" si="109"/>
        <v>0</v>
      </c>
      <c r="N185" s="104">
        <f t="shared" si="109"/>
        <v>0</v>
      </c>
      <c r="O185" s="102">
        <f t="shared" si="109"/>
        <v>45624</v>
      </c>
      <c r="P185" s="105">
        <f t="shared" si="109"/>
        <v>45624</v>
      </c>
      <c r="Q185" s="106"/>
    </row>
    <row r="186" spans="1:17" ht="12.75" customHeight="1">
      <c r="A186" s="113" t="s">
        <v>20</v>
      </c>
      <c r="B186" s="114"/>
      <c r="C186" s="114">
        <f>+H186</f>
        <v>45624</v>
      </c>
      <c r="D186" s="114">
        <f>+B186+C186</f>
        <v>45624</v>
      </c>
      <c r="E186" s="114"/>
      <c r="F186" s="114"/>
      <c r="G186" s="114">
        <v>45624</v>
      </c>
      <c r="H186" s="114">
        <f>SUM(E186:G186)</f>
        <v>45624</v>
      </c>
      <c r="I186" s="43"/>
      <c r="J186" s="43"/>
      <c r="K186" s="43"/>
      <c r="L186" s="78">
        <f>SUM(I186:K186)</f>
        <v>0</v>
      </c>
      <c r="M186" s="114">
        <f t="shared" ref="M186:O187" si="110">+E186-I186</f>
        <v>0</v>
      </c>
      <c r="N186" s="115">
        <f t="shared" si="110"/>
        <v>0</v>
      </c>
      <c r="O186" s="114">
        <f t="shared" si="110"/>
        <v>45624</v>
      </c>
      <c r="P186" s="116">
        <f>SUM(M186:O186)</f>
        <v>45624</v>
      </c>
      <c r="Q186" s="106"/>
    </row>
    <row r="187" spans="1:17" ht="12.75" customHeight="1">
      <c r="A187" s="113" t="s">
        <v>21</v>
      </c>
      <c r="B187" s="114"/>
      <c r="C187" s="114">
        <f>+H187</f>
        <v>0</v>
      </c>
      <c r="D187" s="114">
        <f>+B187+C187</f>
        <v>0</v>
      </c>
      <c r="E187" s="114"/>
      <c r="F187" s="114"/>
      <c r="G187" s="114"/>
      <c r="H187" s="114">
        <f>SUM(E187:G187)</f>
        <v>0</v>
      </c>
      <c r="I187" s="43"/>
      <c r="J187" s="43"/>
      <c r="K187" s="43"/>
      <c r="L187" s="78">
        <f>SUM(I187:K187)</f>
        <v>0</v>
      </c>
      <c r="M187" s="114">
        <f t="shared" si="110"/>
        <v>0</v>
      </c>
      <c r="N187" s="115">
        <f t="shared" si="110"/>
        <v>0</v>
      </c>
      <c r="O187" s="114">
        <f t="shared" si="110"/>
        <v>0</v>
      </c>
      <c r="P187" s="116">
        <f>SUM(M187:O187)</f>
        <v>0</v>
      </c>
      <c r="Q187" s="106"/>
    </row>
    <row r="188" spans="1:17" ht="12.75" customHeight="1">
      <c r="A188" s="121"/>
      <c r="B188" s="122"/>
      <c r="C188" s="122"/>
      <c r="D188" s="122"/>
      <c r="E188" s="114"/>
      <c r="F188" s="114"/>
      <c r="G188" s="114"/>
      <c r="H188" s="114"/>
      <c r="I188" s="43"/>
      <c r="J188" s="43"/>
      <c r="K188" s="43"/>
      <c r="L188" s="78"/>
      <c r="M188" s="114"/>
      <c r="N188" s="115"/>
      <c r="O188" s="114"/>
      <c r="P188" s="116"/>
      <c r="Q188" s="106"/>
    </row>
    <row r="189" spans="1:17">
      <c r="A189" s="120" t="s">
        <v>241</v>
      </c>
      <c r="B189" s="102">
        <f>+B190+B194</f>
        <v>156048</v>
      </c>
      <c r="C189" s="102">
        <f>+C190+C194</f>
        <v>62121</v>
      </c>
      <c r="D189" s="102">
        <f>+D190+D194</f>
        <v>218169</v>
      </c>
      <c r="E189" s="102">
        <f t="shared" ref="E189:P189" si="111">+E190+E194</f>
        <v>133168</v>
      </c>
      <c r="F189" s="102">
        <f t="shared" si="111"/>
        <v>47545</v>
      </c>
      <c r="G189" s="102">
        <f t="shared" si="111"/>
        <v>38692</v>
      </c>
      <c r="H189" s="102">
        <f t="shared" si="111"/>
        <v>219405</v>
      </c>
      <c r="I189" s="45">
        <f t="shared" si="111"/>
        <v>132847</v>
      </c>
      <c r="J189" s="45">
        <f t="shared" si="111"/>
        <v>47505</v>
      </c>
      <c r="K189" s="45">
        <f t="shared" si="111"/>
        <v>38365</v>
      </c>
      <c r="L189" s="103">
        <f t="shared" si="111"/>
        <v>218717</v>
      </c>
      <c r="M189" s="102">
        <f t="shared" si="111"/>
        <v>321</v>
      </c>
      <c r="N189" s="104">
        <f t="shared" si="111"/>
        <v>40</v>
      </c>
      <c r="O189" s="102">
        <f t="shared" si="111"/>
        <v>327</v>
      </c>
      <c r="P189" s="105">
        <f t="shared" si="111"/>
        <v>688</v>
      </c>
      <c r="Q189" s="106">
        <f>+L189/H189</f>
        <v>0.9968642464848112</v>
      </c>
    </row>
    <row r="190" spans="1:17" ht="12.75" customHeight="1">
      <c r="A190" s="127" t="s">
        <v>15</v>
      </c>
      <c r="B190" s="108">
        <f>SUM(B191:B193)</f>
        <v>156048</v>
      </c>
      <c r="C190" s="108">
        <f>SUM(C191:C193)</f>
        <v>62121</v>
      </c>
      <c r="D190" s="108">
        <f>SUM(D191:D193)</f>
        <v>218169</v>
      </c>
      <c r="E190" s="108">
        <f t="shared" ref="E190:P190" si="112">SUM(E191:E193)</f>
        <v>133168</v>
      </c>
      <c r="F190" s="108">
        <f t="shared" si="112"/>
        <v>47545</v>
      </c>
      <c r="G190" s="108">
        <f t="shared" si="112"/>
        <v>38692</v>
      </c>
      <c r="H190" s="108">
        <f t="shared" si="112"/>
        <v>219405</v>
      </c>
      <c r="I190" s="109">
        <f>SUM(I191:I193)</f>
        <v>132847</v>
      </c>
      <c r="J190" s="109">
        <f>SUM(J191:J193)</f>
        <v>47505</v>
      </c>
      <c r="K190" s="109">
        <f>SUM(K191:K193)</f>
        <v>38365</v>
      </c>
      <c r="L190" s="110">
        <f>SUM(L191:L193)</f>
        <v>218717</v>
      </c>
      <c r="M190" s="108">
        <f t="shared" si="112"/>
        <v>321</v>
      </c>
      <c r="N190" s="111">
        <f t="shared" si="112"/>
        <v>40</v>
      </c>
      <c r="O190" s="108">
        <f t="shared" si="112"/>
        <v>327</v>
      </c>
      <c r="P190" s="112">
        <f t="shared" si="112"/>
        <v>688</v>
      </c>
      <c r="Q190" s="106"/>
    </row>
    <row r="191" spans="1:17" ht="12.75" customHeight="1">
      <c r="A191" s="113" t="s">
        <v>16</v>
      </c>
      <c r="B191" s="114">
        <v>147557</v>
      </c>
      <c r="C191" s="114">
        <v>30392</v>
      </c>
      <c r="D191" s="114">
        <f>+B191+C191</f>
        <v>177949</v>
      </c>
      <c r="E191" s="114">
        <v>91712</v>
      </c>
      <c r="F191" s="114">
        <v>47545</v>
      </c>
      <c r="G191" s="114">
        <v>38692</v>
      </c>
      <c r="H191" s="114">
        <f>SUM(E191:G191)</f>
        <v>177949</v>
      </c>
      <c r="I191" s="43">
        <f>92378-666</f>
        <v>91712</v>
      </c>
      <c r="J191" s="43">
        <v>47505</v>
      </c>
      <c r="K191" s="43">
        <v>38365</v>
      </c>
      <c r="L191" s="78">
        <f>SUM(I191:K191)</f>
        <v>177582</v>
      </c>
      <c r="M191" s="114">
        <f t="shared" ref="M191:O193" si="113">+E191-I191</f>
        <v>0</v>
      </c>
      <c r="N191" s="115">
        <f t="shared" si="113"/>
        <v>40</v>
      </c>
      <c r="O191" s="114">
        <f t="shared" si="113"/>
        <v>327</v>
      </c>
      <c r="P191" s="116">
        <f>SUM(M191:O191)</f>
        <v>367</v>
      </c>
      <c r="Q191" s="106"/>
    </row>
    <row r="192" spans="1:17" ht="12.75" customHeight="1">
      <c r="A192" s="113" t="s">
        <v>17</v>
      </c>
      <c r="B192" s="114"/>
      <c r="C192" s="114">
        <f>+H192</f>
        <v>31729</v>
      </c>
      <c r="D192" s="114">
        <f>+B192+C192</f>
        <v>31729</v>
      </c>
      <c r="E192" s="114">
        <v>31729</v>
      </c>
      <c r="F192" s="114"/>
      <c r="G192" s="114"/>
      <c r="H192" s="114">
        <f>SUM(E192:G192)</f>
        <v>31729</v>
      </c>
      <c r="I192" s="43">
        <v>31728</v>
      </c>
      <c r="J192" s="43"/>
      <c r="K192" s="43"/>
      <c r="L192" s="78">
        <f>SUM(I192:K192)</f>
        <v>31728</v>
      </c>
      <c r="M192" s="114">
        <f t="shared" si="113"/>
        <v>1</v>
      </c>
      <c r="N192" s="115">
        <f t="shared" si="113"/>
        <v>0</v>
      </c>
      <c r="O192" s="114">
        <f t="shared" si="113"/>
        <v>0</v>
      </c>
      <c r="P192" s="116">
        <f>SUM(M192:O192)</f>
        <v>1</v>
      </c>
      <c r="Q192" s="106"/>
    </row>
    <row r="193" spans="1:17" ht="12.75" customHeight="1">
      <c r="A193" s="113" t="s">
        <v>18</v>
      </c>
      <c r="B193" s="114">
        <v>8491</v>
      </c>
      <c r="C193" s="114"/>
      <c r="D193" s="114">
        <f>+B193+C193</f>
        <v>8491</v>
      </c>
      <c r="E193" s="114">
        <v>9727</v>
      </c>
      <c r="F193" s="114"/>
      <c r="G193" s="114"/>
      <c r="H193" s="114">
        <f>SUM(E193:G193)</f>
        <v>9727</v>
      </c>
      <c r="I193" s="43">
        <f>8741+666</f>
        <v>9407</v>
      </c>
      <c r="J193" s="43"/>
      <c r="K193" s="43"/>
      <c r="L193" s="78">
        <f>SUM(I193:K193)</f>
        <v>9407</v>
      </c>
      <c r="M193" s="114">
        <f t="shared" si="113"/>
        <v>320</v>
      </c>
      <c r="N193" s="115">
        <f t="shared" si="113"/>
        <v>0</v>
      </c>
      <c r="O193" s="114">
        <f t="shared" si="113"/>
        <v>0</v>
      </c>
      <c r="P193" s="116">
        <f>SUM(M193:O193)</f>
        <v>320</v>
      </c>
      <c r="Q193" s="106"/>
    </row>
    <row r="194" spans="1:17" ht="12.75" customHeight="1">
      <c r="A194" s="113" t="s">
        <v>19</v>
      </c>
      <c r="B194" s="102">
        <f>SUM(B195:B196)</f>
        <v>0</v>
      </c>
      <c r="C194" s="102">
        <f>SUM(C195:C196)</f>
        <v>0</v>
      </c>
      <c r="D194" s="102">
        <f>SUM(D195:D196)</f>
        <v>0</v>
      </c>
      <c r="E194" s="102">
        <f t="shared" ref="E194:P194" si="114">SUM(E195:E196)</f>
        <v>0</v>
      </c>
      <c r="F194" s="102">
        <f t="shared" si="114"/>
        <v>0</v>
      </c>
      <c r="G194" s="102">
        <f t="shared" si="114"/>
        <v>0</v>
      </c>
      <c r="H194" s="102">
        <f t="shared" si="114"/>
        <v>0</v>
      </c>
      <c r="I194" s="45">
        <f>SUM(I195:I196)</f>
        <v>0</v>
      </c>
      <c r="J194" s="45">
        <f>SUM(J195:J196)</f>
        <v>0</v>
      </c>
      <c r="K194" s="45">
        <f>SUM(K195:K196)</f>
        <v>0</v>
      </c>
      <c r="L194" s="103">
        <f>SUM(L195:L196)</f>
        <v>0</v>
      </c>
      <c r="M194" s="102">
        <f t="shared" si="114"/>
        <v>0</v>
      </c>
      <c r="N194" s="104">
        <f t="shared" si="114"/>
        <v>0</v>
      </c>
      <c r="O194" s="102">
        <f t="shared" si="114"/>
        <v>0</v>
      </c>
      <c r="P194" s="105">
        <f t="shared" si="114"/>
        <v>0</v>
      </c>
      <c r="Q194" s="106"/>
    </row>
    <row r="195" spans="1:17" ht="12.75" customHeight="1">
      <c r="A195" s="113" t="s">
        <v>20</v>
      </c>
      <c r="B195" s="114"/>
      <c r="C195" s="114"/>
      <c r="D195" s="114">
        <f>+B195+C195</f>
        <v>0</v>
      </c>
      <c r="E195" s="114"/>
      <c r="F195" s="114"/>
      <c r="G195" s="114"/>
      <c r="H195" s="114">
        <f>SUM(E195:G195)</f>
        <v>0</v>
      </c>
      <c r="I195" s="43"/>
      <c r="J195" s="43"/>
      <c r="K195" s="43"/>
      <c r="L195" s="78">
        <f>SUM(I195:K195)</f>
        <v>0</v>
      </c>
      <c r="M195" s="114">
        <f t="shared" ref="M195:O196" si="115">+E195-I195</f>
        <v>0</v>
      </c>
      <c r="N195" s="115">
        <f t="shared" si="115"/>
        <v>0</v>
      </c>
      <c r="O195" s="114">
        <f t="shared" si="115"/>
        <v>0</v>
      </c>
      <c r="P195" s="116">
        <f>SUM(M195:O195)</f>
        <v>0</v>
      </c>
      <c r="Q195" s="106"/>
    </row>
    <row r="196" spans="1:17" ht="12.75" customHeight="1">
      <c r="A196" s="113" t="s">
        <v>21</v>
      </c>
      <c r="B196" s="114"/>
      <c r="C196" s="114">
        <f>+H196</f>
        <v>0</v>
      </c>
      <c r="D196" s="114">
        <f>+B196+C196</f>
        <v>0</v>
      </c>
      <c r="E196" s="114"/>
      <c r="F196" s="114"/>
      <c r="G196" s="114"/>
      <c r="H196" s="114">
        <f>SUM(E196:G196)</f>
        <v>0</v>
      </c>
      <c r="I196" s="43"/>
      <c r="J196" s="43"/>
      <c r="K196" s="43"/>
      <c r="L196" s="78">
        <f>SUM(I196:K196)</f>
        <v>0</v>
      </c>
      <c r="M196" s="114">
        <f t="shared" si="115"/>
        <v>0</v>
      </c>
      <c r="N196" s="115">
        <f t="shared" si="115"/>
        <v>0</v>
      </c>
      <c r="O196" s="114">
        <f t="shared" si="115"/>
        <v>0</v>
      </c>
      <c r="P196" s="116">
        <f>SUM(M196:O196)</f>
        <v>0</v>
      </c>
      <c r="Q196" s="106"/>
    </row>
    <row r="197" spans="1:17" ht="12.75" customHeight="1">
      <c r="A197" s="229"/>
      <c r="B197" s="230"/>
      <c r="C197" s="230"/>
      <c r="D197" s="230"/>
      <c r="E197" s="102"/>
      <c r="F197" s="102"/>
      <c r="G197" s="102"/>
      <c r="H197" s="102"/>
      <c r="I197" s="45"/>
      <c r="J197" s="45"/>
      <c r="K197" s="45"/>
      <c r="L197" s="103"/>
      <c r="M197" s="102"/>
      <c r="N197" s="104"/>
      <c r="O197" s="102"/>
      <c r="P197" s="105"/>
      <c r="Q197" s="227"/>
    </row>
    <row r="198" spans="1:17" ht="12.75" customHeight="1">
      <c r="A198" s="120" t="s">
        <v>242</v>
      </c>
      <c r="B198" s="102">
        <f>+B199+B203</f>
        <v>90465</v>
      </c>
      <c r="C198" s="102">
        <f>+C199+C203</f>
        <v>39681</v>
      </c>
      <c r="D198" s="102">
        <f>+D199+D203</f>
        <v>130146</v>
      </c>
      <c r="E198" s="102">
        <f t="shared" ref="E198:P198" si="116">+E199+E203</f>
        <v>85085</v>
      </c>
      <c r="F198" s="102">
        <f t="shared" si="116"/>
        <v>22871</v>
      </c>
      <c r="G198" s="102">
        <f t="shared" si="116"/>
        <v>22676</v>
      </c>
      <c r="H198" s="102">
        <f t="shared" si="116"/>
        <v>130632</v>
      </c>
      <c r="I198" s="45">
        <f t="shared" si="116"/>
        <v>77143</v>
      </c>
      <c r="J198" s="45">
        <f t="shared" si="116"/>
        <v>22400</v>
      </c>
      <c r="K198" s="45">
        <f t="shared" si="116"/>
        <v>14452</v>
      </c>
      <c r="L198" s="103">
        <f t="shared" si="116"/>
        <v>113995</v>
      </c>
      <c r="M198" s="102">
        <f t="shared" si="116"/>
        <v>7942</v>
      </c>
      <c r="N198" s="104">
        <f t="shared" si="116"/>
        <v>471</v>
      </c>
      <c r="O198" s="102">
        <f t="shared" si="116"/>
        <v>8224</v>
      </c>
      <c r="P198" s="105">
        <f t="shared" si="116"/>
        <v>16637</v>
      </c>
      <c r="Q198" s="106">
        <f>+L198/H198</f>
        <v>0.87264223161246857</v>
      </c>
    </row>
    <row r="199" spans="1:17" ht="12.75" customHeight="1">
      <c r="A199" s="127" t="s">
        <v>15</v>
      </c>
      <c r="B199" s="108">
        <f>SUM(B200:B202)</f>
        <v>90465</v>
      </c>
      <c r="C199" s="108">
        <f>SUM(C200:C202)</f>
        <v>39681</v>
      </c>
      <c r="D199" s="108">
        <f>SUM(D200:D202)</f>
        <v>130146</v>
      </c>
      <c r="E199" s="108">
        <f t="shared" ref="E199:P199" si="117">SUM(E200:E202)</f>
        <v>85085</v>
      </c>
      <c r="F199" s="108">
        <f t="shared" si="117"/>
        <v>22871</v>
      </c>
      <c r="G199" s="108">
        <f t="shared" si="117"/>
        <v>22676</v>
      </c>
      <c r="H199" s="108">
        <f t="shared" si="117"/>
        <v>130632</v>
      </c>
      <c r="I199" s="109">
        <f>SUM(I200:I202)</f>
        <v>77143</v>
      </c>
      <c r="J199" s="109">
        <f>SUM(J200:J202)</f>
        <v>22400</v>
      </c>
      <c r="K199" s="109">
        <f>SUM(K200:K202)</f>
        <v>14452</v>
      </c>
      <c r="L199" s="110">
        <f>SUM(L200:L202)</f>
        <v>113995</v>
      </c>
      <c r="M199" s="108">
        <f t="shared" si="117"/>
        <v>7942</v>
      </c>
      <c r="N199" s="111">
        <f t="shared" si="117"/>
        <v>471</v>
      </c>
      <c r="O199" s="108">
        <f t="shared" si="117"/>
        <v>8224</v>
      </c>
      <c r="P199" s="112">
        <f t="shared" si="117"/>
        <v>16637</v>
      </c>
      <c r="Q199" s="106"/>
    </row>
    <row r="200" spans="1:17" ht="12.75" customHeight="1">
      <c r="A200" s="113" t="s">
        <v>16</v>
      </c>
      <c r="B200" s="114">
        <v>84822</v>
      </c>
      <c r="C200" s="114">
        <v>22376</v>
      </c>
      <c r="D200" s="114">
        <f>+B200+C200</f>
        <v>107198</v>
      </c>
      <c r="E200" s="114">
        <v>61651</v>
      </c>
      <c r="F200" s="114">
        <v>22871</v>
      </c>
      <c r="G200" s="114">
        <v>22676</v>
      </c>
      <c r="H200" s="114">
        <f>SUM(E200:G200)</f>
        <v>107198</v>
      </c>
      <c r="I200" s="43">
        <v>55248</v>
      </c>
      <c r="J200" s="43">
        <v>22400</v>
      </c>
      <c r="K200" s="43">
        <v>14452</v>
      </c>
      <c r="L200" s="78">
        <f>SUM(I200:K200)</f>
        <v>92100</v>
      </c>
      <c r="M200" s="114">
        <f t="shared" ref="M200:O202" si="118">+E200-I200</f>
        <v>6403</v>
      </c>
      <c r="N200" s="115">
        <f t="shared" si="118"/>
        <v>471</v>
      </c>
      <c r="O200" s="114">
        <f t="shared" si="118"/>
        <v>8224</v>
      </c>
      <c r="P200" s="116">
        <f>SUM(M200:O200)</f>
        <v>15098</v>
      </c>
      <c r="Q200" s="106"/>
    </row>
    <row r="201" spans="1:17" ht="12.75" customHeight="1">
      <c r="A201" s="113" t="s">
        <v>17</v>
      </c>
      <c r="B201" s="114"/>
      <c r="C201" s="114">
        <f>+H201</f>
        <v>17305</v>
      </c>
      <c r="D201" s="114">
        <f>+B201+C201</f>
        <v>17305</v>
      </c>
      <c r="E201" s="114">
        <v>17305</v>
      </c>
      <c r="F201" s="114"/>
      <c r="G201" s="114"/>
      <c r="H201" s="114">
        <f>SUM(E201:G201)</f>
        <v>17305</v>
      </c>
      <c r="I201" s="43">
        <v>17305</v>
      </c>
      <c r="J201" s="43"/>
      <c r="K201" s="43"/>
      <c r="L201" s="78">
        <f>SUM(I201:K201)</f>
        <v>17305</v>
      </c>
      <c r="M201" s="114">
        <f t="shared" si="118"/>
        <v>0</v>
      </c>
      <c r="N201" s="115">
        <f t="shared" si="118"/>
        <v>0</v>
      </c>
      <c r="O201" s="114">
        <f t="shared" si="118"/>
        <v>0</v>
      </c>
      <c r="P201" s="116">
        <f>SUM(M201:O201)</f>
        <v>0</v>
      </c>
      <c r="Q201" s="106"/>
    </row>
    <row r="202" spans="1:17" ht="12.75" customHeight="1">
      <c r="A202" s="113" t="s">
        <v>18</v>
      </c>
      <c r="B202" s="114">
        <v>5643</v>
      </c>
      <c r="C202" s="114"/>
      <c r="D202" s="114">
        <f>+B202+C202</f>
        <v>5643</v>
      </c>
      <c r="E202" s="114">
        <v>6129</v>
      </c>
      <c r="F202" s="114"/>
      <c r="G202" s="114"/>
      <c r="H202" s="114">
        <f>SUM(E202:G202)</f>
        <v>6129</v>
      </c>
      <c r="I202" s="43">
        <v>4590</v>
      </c>
      <c r="J202" s="43"/>
      <c r="K202" s="43"/>
      <c r="L202" s="78">
        <f>SUM(I202:K202)</f>
        <v>4590</v>
      </c>
      <c r="M202" s="114">
        <f t="shared" si="118"/>
        <v>1539</v>
      </c>
      <c r="N202" s="115">
        <f t="shared" si="118"/>
        <v>0</v>
      </c>
      <c r="O202" s="114">
        <f t="shared" si="118"/>
        <v>0</v>
      </c>
      <c r="P202" s="116">
        <f>SUM(M202:O202)</f>
        <v>1539</v>
      </c>
      <c r="Q202" s="106"/>
    </row>
    <row r="203" spans="1:17" ht="12.75" customHeight="1">
      <c r="A203" s="113" t="s">
        <v>19</v>
      </c>
      <c r="B203" s="102">
        <f>SUM(B204:B205)</f>
        <v>0</v>
      </c>
      <c r="C203" s="102">
        <f>SUM(C204:C205)</f>
        <v>0</v>
      </c>
      <c r="D203" s="102">
        <f>SUM(D204:D205)</f>
        <v>0</v>
      </c>
      <c r="E203" s="102">
        <f t="shared" ref="E203:P203" si="119">SUM(E204:E205)</f>
        <v>0</v>
      </c>
      <c r="F203" s="102">
        <f t="shared" si="119"/>
        <v>0</v>
      </c>
      <c r="G203" s="102">
        <f t="shared" si="119"/>
        <v>0</v>
      </c>
      <c r="H203" s="102">
        <f t="shared" si="119"/>
        <v>0</v>
      </c>
      <c r="I203" s="45">
        <f>SUM(I204:I205)</f>
        <v>0</v>
      </c>
      <c r="J203" s="45">
        <f>SUM(J204:J205)</f>
        <v>0</v>
      </c>
      <c r="K203" s="45">
        <f>SUM(K204:K205)</f>
        <v>0</v>
      </c>
      <c r="L203" s="103">
        <f>SUM(L204:L205)</f>
        <v>0</v>
      </c>
      <c r="M203" s="102">
        <f t="shared" si="119"/>
        <v>0</v>
      </c>
      <c r="N203" s="104">
        <f t="shared" si="119"/>
        <v>0</v>
      </c>
      <c r="O203" s="102">
        <f t="shared" si="119"/>
        <v>0</v>
      </c>
      <c r="P203" s="105">
        <f t="shared" si="119"/>
        <v>0</v>
      </c>
      <c r="Q203" s="106"/>
    </row>
    <row r="204" spans="1:17" ht="12.75" customHeight="1">
      <c r="A204" s="113" t="s">
        <v>20</v>
      </c>
      <c r="B204" s="114"/>
      <c r="C204" s="114"/>
      <c r="D204" s="114">
        <f>+B204+C204</f>
        <v>0</v>
      </c>
      <c r="E204" s="114"/>
      <c r="F204" s="114"/>
      <c r="G204" s="114"/>
      <c r="H204" s="114">
        <f>SUM(E204:G204)</f>
        <v>0</v>
      </c>
      <c r="I204" s="43"/>
      <c r="J204" s="43"/>
      <c r="K204" s="43"/>
      <c r="L204" s="78">
        <f>SUM(I204:K204)</f>
        <v>0</v>
      </c>
      <c r="M204" s="114">
        <f t="shared" ref="M204:O205" si="120">+E204-I204</f>
        <v>0</v>
      </c>
      <c r="N204" s="115">
        <f t="shared" si="120"/>
        <v>0</v>
      </c>
      <c r="O204" s="114">
        <f t="shared" si="120"/>
        <v>0</v>
      </c>
      <c r="P204" s="116">
        <f>SUM(M204:O204)</f>
        <v>0</v>
      </c>
      <c r="Q204" s="106"/>
    </row>
    <row r="205" spans="1:17" ht="12.75" customHeight="1">
      <c r="A205" s="113" t="s">
        <v>21</v>
      </c>
      <c r="B205" s="114"/>
      <c r="C205" s="114"/>
      <c r="D205" s="114">
        <f>+B205+C205</f>
        <v>0</v>
      </c>
      <c r="E205" s="114"/>
      <c r="F205" s="114"/>
      <c r="G205" s="114"/>
      <c r="H205" s="114">
        <f>SUM(E205:G205)</f>
        <v>0</v>
      </c>
      <c r="I205" s="43"/>
      <c r="J205" s="43"/>
      <c r="K205" s="43"/>
      <c r="L205" s="78">
        <f>SUM(I205:K205)</f>
        <v>0</v>
      </c>
      <c r="M205" s="114">
        <f t="shared" si="120"/>
        <v>0</v>
      </c>
      <c r="N205" s="115">
        <f t="shared" si="120"/>
        <v>0</v>
      </c>
      <c r="O205" s="114">
        <f t="shared" si="120"/>
        <v>0</v>
      </c>
      <c r="P205" s="116">
        <f>SUM(M205:O205)</f>
        <v>0</v>
      </c>
      <c r="Q205" s="106"/>
    </row>
    <row r="206" spans="1:17" ht="12.75" customHeight="1">
      <c r="A206" s="121"/>
      <c r="B206" s="122"/>
      <c r="C206" s="122"/>
      <c r="D206" s="122"/>
      <c r="E206" s="114"/>
      <c r="F206" s="114"/>
      <c r="G206" s="114"/>
      <c r="H206" s="114"/>
      <c r="I206" s="43"/>
      <c r="J206" s="43"/>
      <c r="K206" s="43"/>
      <c r="L206" s="78"/>
      <c r="M206" s="114"/>
      <c r="N206" s="115"/>
      <c r="O206" s="114"/>
      <c r="P206" s="116"/>
      <c r="Q206" s="106"/>
    </row>
    <row r="207" spans="1:17" ht="12.75" customHeight="1">
      <c r="A207" s="120" t="s">
        <v>243</v>
      </c>
      <c r="B207" s="102">
        <f>+B208+B212</f>
        <v>92695</v>
      </c>
      <c r="C207" s="102">
        <f>+C208+C212</f>
        <v>5967</v>
      </c>
      <c r="D207" s="102">
        <f>+D208+D212</f>
        <v>98662</v>
      </c>
      <c r="E207" s="102">
        <f t="shared" ref="E207:P207" si="121">+E208+E212</f>
        <v>75987</v>
      </c>
      <c r="F207" s="102">
        <f t="shared" si="121"/>
        <v>22655</v>
      </c>
      <c r="G207" s="102">
        <f t="shared" si="121"/>
        <v>20086</v>
      </c>
      <c r="H207" s="102">
        <f t="shared" si="121"/>
        <v>118728</v>
      </c>
      <c r="I207" s="45">
        <f t="shared" si="121"/>
        <v>75854</v>
      </c>
      <c r="J207" s="45">
        <f t="shared" si="121"/>
        <v>22655</v>
      </c>
      <c r="K207" s="45">
        <f t="shared" si="121"/>
        <v>18088</v>
      </c>
      <c r="L207" s="103">
        <f t="shared" si="121"/>
        <v>116597</v>
      </c>
      <c r="M207" s="102">
        <f t="shared" si="121"/>
        <v>133</v>
      </c>
      <c r="N207" s="104">
        <f t="shared" si="121"/>
        <v>0</v>
      </c>
      <c r="O207" s="102">
        <f t="shared" si="121"/>
        <v>1998</v>
      </c>
      <c r="P207" s="105">
        <f t="shared" si="121"/>
        <v>2131</v>
      </c>
      <c r="Q207" s="106">
        <f>+L207/H207</f>
        <v>0.98205141162994403</v>
      </c>
    </row>
    <row r="208" spans="1:17" ht="12.75" customHeight="1">
      <c r="A208" s="127" t="s">
        <v>15</v>
      </c>
      <c r="B208" s="108">
        <f>SUM(B209:B211)</f>
        <v>92695</v>
      </c>
      <c r="C208" s="108">
        <f>SUM(C209:C211)</f>
        <v>5967</v>
      </c>
      <c r="D208" s="108">
        <f>SUM(D209:D211)</f>
        <v>98662</v>
      </c>
      <c r="E208" s="108">
        <f t="shared" ref="E208:P208" si="122">SUM(E209:E211)</f>
        <v>75987</v>
      </c>
      <c r="F208" s="108">
        <f t="shared" si="122"/>
        <v>22655</v>
      </c>
      <c r="G208" s="108">
        <f t="shared" si="122"/>
        <v>19586</v>
      </c>
      <c r="H208" s="108">
        <f t="shared" si="122"/>
        <v>118228</v>
      </c>
      <c r="I208" s="109">
        <f>SUM(I209:I211)</f>
        <v>75854</v>
      </c>
      <c r="J208" s="109">
        <f>SUM(J209:J211)</f>
        <v>22655</v>
      </c>
      <c r="K208" s="109">
        <f>SUM(K209:K211)</f>
        <v>17604</v>
      </c>
      <c r="L208" s="110">
        <f>SUM(L209:L211)</f>
        <v>116113</v>
      </c>
      <c r="M208" s="108">
        <f t="shared" si="122"/>
        <v>133</v>
      </c>
      <c r="N208" s="111">
        <f t="shared" si="122"/>
        <v>0</v>
      </c>
      <c r="O208" s="108">
        <f t="shared" si="122"/>
        <v>1982</v>
      </c>
      <c r="P208" s="112">
        <f t="shared" si="122"/>
        <v>2115</v>
      </c>
      <c r="Q208" s="106"/>
    </row>
    <row r="209" spans="1:17" ht="12.75" customHeight="1">
      <c r="A209" s="113" t="s">
        <v>16</v>
      </c>
      <c r="B209" s="114">
        <v>86700</v>
      </c>
      <c r="C209" s="114"/>
      <c r="D209" s="114">
        <f>+B209+C209</f>
        <v>86700</v>
      </c>
      <c r="E209" s="114">
        <v>63745</v>
      </c>
      <c r="F209" s="114">
        <v>22655</v>
      </c>
      <c r="G209" s="114">
        <v>19586</v>
      </c>
      <c r="H209" s="114">
        <f>SUM(E209:G209)</f>
        <v>105986</v>
      </c>
      <c r="I209" s="43">
        <v>63612</v>
      </c>
      <c r="J209" s="43">
        <v>22655</v>
      </c>
      <c r="K209" s="43">
        <v>17604</v>
      </c>
      <c r="L209" s="78">
        <f>SUM(I209:K209)</f>
        <v>103871</v>
      </c>
      <c r="M209" s="114">
        <f t="shared" ref="M209:O211" si="123">+E209-I209</f>
        <v>133</v>
      </c>
      <c r="N209" s="115">
        <f t="shared" si="123"/>
        <v>0</v>
      </c>
      <c r="O209" s="114">
        <f t="shared" si="123"/>
        <v>1982</v>
      </c>
      <c r="P209" s="116">
        <f>SUM(M209:O209)</f>
        <v>2115</v>
      </c>
      <c r="Q209" s="106"/>
    </row>
    <row r="210" spans="1:17" ht="12.75" customHeight="1">
      <c r="A210" s="113" t="s">
        <v>17</v>
      </c>
      <c r="B210" s="114"/>
      <c r="C210" s="114">
        <f>+H210</f>
        <v>5967</v>
      </c>
      <c r="D210" s="114">
        <f>+B210+C210</f>
        <v>5967</v>
      </c>
      <c r="E210" s="114">
        <v>5967</v>
      </c>
      <c r="F210" s="114"/>
      <c r="G210" s="114"/>
      <c r="H210" s="114">
        <f>SUM(E210:G210)</f>
        <v>5967</v>
      </c>
      <c r="I210" s="43">
        <v>5967</v>
      </c>
      <c r="J210" s="43"/>
      <c r="K210" s="43"/>
      <c r="L210" s="78">
        <f>SUM(I210:K210)</f>
        <v>5967</v>
      </c>
      <c r="M210" s="114">
        <f t="shared" si="123"/>
        <v>0</v>
      </c>
      <c r="N210" s="115">
        <f t="shared" si="123"/>
        <v>0</v>
      </c>
      <c r="O210" s="114">
        <f t="shared" si="123"/>
        <v>0</v>
      </c>
      <c r="P210" s="116">
        <f>SUM(M210:O210)</f>
        <v>0</v>
      </c>
      <c r="Q210" s="106"/>
    </row>
    <row r="211" spans="1:17" ht="12.75" customHeight="1">
      <c r="A211" s="113" t="s">
        <v>18</v>
      </c>
      <c r="B211" s="114">
        <v>5995</v>
      </c>
      <c r="C211" s="114"/>
      <c r="D211" s="114">
        <f>+B211+C211</f>
        <v>5995</v>
      </c>
      <c r="E211" s="114">
        <v>6275</v>
      </c>
      <c r="F211" s="114"/>
      <c r="G211" s="114"/>
      <c r="H211" s="114">
        <f>SUM(E211:G211)</f>
        <v>6275</v>
      </c>
      <c r="I211" s="43">
        <v>6275</v>
      </c>
      <c r="J211" s="43"/>
      <c r="K211" s="43"/>
      <c r="L211" s="78">
        <f>SUM(I211:K211)</f>
        <v>6275</v>
      </c>
      <c r="M211" s="114">
        <f t="shared" si="123"/>
        <v>0</v>
      </c>
      <c r="N211" s="115">
        <f t="shared" si="123"/>
        <v>0</v>
      </c>
      <c r="O211" s="114">
        <f t="shared" si="123"/>
        <v>0</v>
      </c>
      <c r="P211" s="116">
        <f>SUM(M211:O211)</f>
        <v>0</v>
      </c>
      <c r="Q211" s="106"/>
    </row>
    <row r="212" spans="1:17" ht="12.75" customHeight="1">
      <c r="A212" s="113" t="s">
        <v>19</v>
      </c>
      <c r="B212" s="102">
        <f>SUM(B213:B214)</f>
        <v>0</v>
      </c>
      <c r="C212" s="102">
        <f>SUM(C213:C214)</f>
        <v>0</v>
      </c>
      <c r="D212" s="102">
        <f>SUM(D213:D214)</f>
        <v>0</v>
      </c>
      <c r="E212" s="102">
        <f t="shared" ref="E212:P212" si="124">SUM(E213:E214)</f>
        <v>0</v>
      </c>
      <c r="F212" s="102">
        <f t="shared" si="124"/>
        <v>0</v>
      </c>
      <c r="G212" s="102">
        <f t="shared" si="124"/>
        <v>500</v>
      </c>
      <c r="H212" s="102">
        <f t="shared" si="124"/>
        <v>500</v>
      </c>
      <c r="I212" s="45">
        <f>SUM(I213:I214)</f>
        <v>0</v>
      </c>
      <c r="J212" s="45">
        <f>SUM(J213:J214)</f>
        <v>0</v>
      </c>
      <c r="K212" s="45">
        <f>SUM(K213:K214)</f>
        <v>484</v>
      </c>
      <c r="L212" s="103">
        <f>SUM(L213:L214)</f>
        <v>484</v>
      </c>
      <c r="M212" s="102">
        <f t="shared" si="124"/>
        <v>0</v>
      </c>
      <c r="N212" s="104">
        <f t="shared" si="124"/>
        <v>0</v>
      </c>
      <c r="O212" s="102">
        <f t="shared" si="124"/>
        <v>16</v>
      </c>
      <c r="P212" s="105">
        <f t="shared" si="124"/>
        <v>16</v>
      </c>
      <c r="Q212" s="106"/>
    </row>
    <row r="213" spans="1:17" ht="12.75" customHeight="1">
      <c r="A213" s="113" t="s">
        <v>20</v>
      </c>
      <c r="B213" s="114"/>
      <c r="C213" s="114"/>
      <c r="D213" s="114">
        <f>+B213+C213</f>
        <v>0</v>
      </c>
      <c r="E213" s="114"/>
      <c r="F213" s="114"/>
      <c r="G213" s="114">
        <v>500</v>
      </c>
      <c r="H213" s="114">
        <f>SUM(E213:G213)</f>
        <v>500</v>
      </c>
      <c r="I213" s="43"/>
      <c r="J213" s="43"/>
      <c r="K213" s="43">
        <v>484</v>
      </c>
      <c r="L213" s="78">
        <f>SUM(I213:K213)</f>
        <v>484</v>
      </c>
      <c r="M213" s="114">
        <f t="shared" ref="M213:O214" si="125">+E213-I213</f>
        <v>0</v>
      </c>
      <c r="N213" s="115">
        <f t="shared" si="125"/>
        <v>0</v>
      </c>
      <c r="O213" s="114">
        <f t="shared" si="125"/>
        <v>16</v>
      </c>
      <c r="P213" s="116">
        <f>SUM(M213:O213)</f>
        <v>16</v>
      </c>
      <c r="Q213" s="106"/>
    </row>
    <row r="214" spans="1:17" ht="12.75" customHeight="1">
      <c r="A214" s="113" t="s">
        <v>21</v>
      </c>
      <c r="B214" s="114"/>
      <c r="C214" s="114">
        <f>+H214</f>
        <v>0</v>
      </c>
      <c r="D214" s="114">
        <f>+B214+C214</f>
        <v>0</v>
      </c>
      <c r="E214" s="114"/>
      <c r="F214" s="114"/>
      <c r="G214" s="114"/>
      <c r="H214" s="114">
        <f>SUM(E214:G214)</f>
        <v>0</v>
      </c>
      <c r="I214" s="43"/>
      <c r="J214" s="43"/>
      <c r="K214" s="43"/>
      <c r="L214" s="78">
        <f>SUM(I214:K214)</f>
        <v>0</v>
      </c>
      <c r="M214" s="114">
        <f t="shared" si="125"/>
        <v>0</v>
      </c>
      <c r="N214" s="115">
        <f t="shared" si="125"/>
        <v>0</v>
      </c>
      <c r="O214" s="114">
        <f t="shared" si="125"/>
        <v>0</v>
      </c>
      <c r="P214" s="116">
        <f>SUM(M214:O214)</f>
        <v>0</v>
      </c>
      <c r="Q214" s="106"/>
    </row>
    <row r="215" spans="1:17" ht="12.75" customHeight="1">
      <c r="A215" s="229"/>
      <c r="B215" s="230"/>
      <c r="C215" s="230"/>
      <c r="D215" s="230"/>
      <c r="E215" s="102"/>
      <c r="F215" s="102"/>
      <c r="G215" s="102"/>
      <c r="H215" s="102"/>
      <c r="I215" s="74"/>
      <c r="J215" s="74"/>
      <c r="K215" s="74"/>
      <c r="L215" s="138"/>
      <c r="M215" s="102"/>
      <c r="N215" s="104"/>
      <c r="O215" s="102"/>
      <c r="P215" s="105"/>
      <c r="Q215" s="227"/>
    </row>
    <row r="216" spans="1:17" ht="12.75" customHeight="1">
      <c r="A216" s="149" t="s">
        <v>244</v>
      </c>
      <c r="B216" s="102">
        <f>+B217+B221</f>
        <v>1346887</v>
      </c>
      <c r="C216" s="102">
        <f>+C217+C221</f>
        <v>207565</v>
      </c>
      <c r="D216" s="102">
        <f>+D217+D221</f>
        <v>1554452</v>
      </c>
      <c r="E216" s="102">
        <f t="shared" ref="E216:P216" si="126">+E217+E221</f>
        <v>1257352</v>
      </c>
      <c r="F216" s="102">
        <f t="shared" si="126"/>
        <v>253656</v>
      </c>
      <c r="G216" s="102">
        <f t="shared" si="126"/>
        <v>120690</v>
      </c>
      <c r="H216" s="102">
        <f t="shared" si="126"/>
        <v>1631698</v>
      </c>
      <c r="I216" s="139">
        <f>+I217+I221</f>
        <v>1254528</v>
      </c>
      <c r="J216" s="139">
        <f>+J217+J221</f>
        <v>242024</v>
      </c>
      <c r="K216" s="139">
        <f>+K217+K221</f>
        <v>105809</v>
      </c>
      <c r="L216" s="139">
        <f>+L217+L221</f>
        <v>1602361</v>
      </c>
      <c r="M216" s="102">
        <f t="shared" si="126"/>
        <v>2824</v>
      </c>
      <c r="N216" s="104">
        <f t="shared" si="126"/>
        <v>11632</v>
      </c>
      <c r="O216" s="102">
        <f t="shared" si="126"/>
        <v>14881</v>
      </c>
      <c r="P216" s="105">
        <f t="shared" si="126"/>
        <v>29337</v>
      </c>
      <c r="Q216" s="106">
        <f>+L216/H216</f>
        <v>0.98202056998292575</v>
      </c>
    </row>
    <row r="217" spans="1:17" ht="12.75" customHeight="1">
      <c r="A217" s="127" t="s">
        <v>15</v>
      </c>
      <c r="B217" s="108">
        <f>SUM(B218:B220)</f>
        <v>1346887</v>
      </c>
      <c r="C217" s="108">
        <f>SUM(C218:C220)</f>
        <v>206275</v>
      </c>
      <c r="D217" s="108">
        <f>SUM(D218:D220)</f>
        <v>1553162</v>
      </c>
      <c r="E217" s="108">
        <f t="shared" ref="E217:P217" si="127">SUM(E218:E220)</f>
        <v>1257352</v>
      </c>
      <c r="F217" s="108">
        <f t="shared" si="127"/>
        <v>252366</v>
      </c>
      <c r="G217" s="108">
        <f t="shared" si="127"/>
        <v>120690</v>
      </c>
      <c r="H217" s="108">
        <f t="shared" si="127"/>
        <v>1630408</v>
      </c>
      <c r="I217" s="141">
        <f>SUM(I218:I220)</f>
        <v>1254528</v>
      </c>
      <c r="J217" s="141">
        <f>SUM(J218:J220)</f>
        <v>242024</v>
      </c>
      <c r="K217" s="141">
        <f>SUM(K218:K220)</f>
        <v>105809</v>
      </c>
      <c r="L217" s="141">
        <f>SUM(L218:L220)</f>
        <v>1602361</v>
      </c>
      <c r="M217" s="108">
        <f t="shared" si="127"/>
        <v>2824</v>
      </c>
      <c r="N217" s="111">
        <f t="shared" si="127"/>
        <v>10342</v>
      </c>
      <c r="O217" s="108">
        <f t="shared" si="127"/>
        <v>14881</v>
      </c>
      <c r="P217" s="112">
        <f t="shared" si="127"/>
        <v>28047</v>
      </c>
      <c r="Q217" s="106"/>
    </row>
    <row r="218" spans="1:17" ht="12.75" customHeight="1">
      <c r="A218" s="113" t="s">
        <v>16</v>
      </c>
      <c r="B218" s="114">
        <f t="shared" ref="B218:G220" si="128">+B227+B236+B245+B254+B263</f>
        <v>1253476</v>
      </c>
      <c r="C218" s="114">
        <f t="shared" si="128"/>
        <v>41058</v>
      </c>
      <c r="D218" s="114">
        <f t="shared" si="128"/>
        <v>1294534</v>
      </c>
      <c r="E218" s="114">
        <f t="shared" si="128"/>
        <v>1001768</v>
      </c>
      <c r="F218" s="114">
        <f t="shared" si="128"/>
        <v>249408</v>
      </c>
      <c r="G218" s="114">
        <f t="shared" si="128"/>
        <v>120210</v>
      </c>
      <c r="H218" s="114">
        <f>SUM(E218:G218)</f>
        <v>1371386</v>
      </c>
      <c r="I218" s="143">
        <f t="shared" ref="I218:K220" si="129">+I227+I236+I245+I254+I263</f>
        <v>1001173</v>
      </c>
      <c r="J218" s="143">
        <f t="shared" si="129"/>
        <v>239066</v>
      </c>
      <c r="K218" s="143">
        <f t="shared" si="129"/>
        <v>105329</v>
      </c>
      <c r="L218" s="143">
        <f>SUM(I218:K218)</f>
        <v>1345568</v>
      </c>
      <c r="M218" s="114">
        <f t="shared" ref="M218:O220" si="130">+E218-I218</f>
        <v>595</v>
      </c>
      <c r="N218" s="115">
        <f t="shared" si="130"/>
        <v>10342</v>
      </c>
      <c r="O218" s="114">
        <f t="shared" si="130"/>
        <v>14881</v>
      </c>
      <c r="P218" s="116">
        <f>SUM(M218:O218)</f>
        <v>25818</v>
      </c>
      <c r="Q218" s="106"/>
    </row>
    <row r="219" spans="1:17" ht="12.75" customHeight="1">
      <c r="A219" s="113" t="s">
        <v>17</v>
      </c>
      <c r="B219" s="114">
        <f t="shared" si="128"/>
        <v>0</v>
      </c>
      <c r="C219" s="114">
        <f t="shared" si="128"/>
        <v>165217</v>
      </c>
      <c r="D219" s="114">
        <f t="shared" si="128"/>
        <v>165217</v>
      </c>
      <c r="E219" s="114">
        <f t="shared" si="128"/>
        <v>161779</v>
      </c>
      <c r="F219" s="114">
        <f t="shared" si="128"/>
        <v>2958</v>
      </c>
      <c r="G219" s="114">
        <f t="shared" si="128"/>
        <v>480</v>
      </c>
      <c r="H219" s="114">
        <f>SUM(E219:G219)</f>
        <v>165217</v>
      </c>
      <c r="I219" s="143">
        <f t="shared" si="129"/>
        <v>161334</v>
      </c>
      <c r="J219" s="143">
        <f t="shared" si="129"/>
        <v>2958</v>
      </c>
      <c r="K219" s="143">
        <f t="shared" si="129"/>
        <v>480</v>
      </c>
      <c r="L219" s="143">
        <f>SUM(I219:K219)</f>
        <v>164772</v>
      </c>
      <c r="M219" s="114">
        <f t="shared" si="130"/>
        <v>445</v>
      </c>
      <c r="N219" s="115">
        <f t="shared" si="130"/>
        <v>0</v>
      </c>
      <c r="O219" s="114">
        <f t="shared" si="130"/>
        <v>0</v>
      </c>
      <c r="P219" s="116">
        <f>SUM(M219:O219)</f>
        <v>445</v>
      </c>
      <c r="Q219" s="106"/>
    </row>
    <row r="220" spans="1:17" ht="12.75" customHeight="1">
      <c r="A220" s="113" t="s">
        <v>18</v>
      </c>
      <c r="B220" s="114">
        <f t="shared" si="128"/>
        <v>93411</v>
      </c>
      <c r="C220" s="114">
        <f t="shared" si="128"/>
        <v>0</v>
      </c>
      <c r="D220" s="114">
        <f t="shared" si="128"/>
        <v>93411</v>
      </c>
      <c r="E220" s="114">
        <f t="shared" si="128"/>
        <v>93805</v>
      </c>
      <c r="F220" s="114">
        <f t="shared" si="128"/>
        <v>0</v>
      </c>
      <c r="G220" s="114">
        <f t="shared" si="128"/>
        <v>0</v>
      </c>
      <c r="H220" s="114">
        <f>SUM(E220:G220)</f>
        <v>93805</v>
      </c>
      <c r="I220" s="143">
        <f t="shared" si="129"/>
        <v>92021</v>
      </c>
      <c r="J220" s="143">
        <f t="shared" si="129"/>
        <v>0</v>
      </c>
      <c r="K220" s="143">
        <f t="shared" si="129"/>
        <v>0</v>
      </c>
      <c r="L220" s="143">
        <f>SUM(I220:K220)</f>
        <v>92021</v>
      </c>
      <c r="M220" s="114">
        <f t="shared" si="130"/>
        <v>1784</v>
      </c>
      <c r="N220" s="115">
        <f t="shared" si="130"/>
        <v>0</v>
      </c>
      <c r="O220" s="114">
        <f t="shared" si="130"/>
        <v>0</v>
      </c>
      <c r="P220" s="116">
        <f>SUM(M220:O220)</f>
        <v>1784</v>
      </c>
      <c r="Q220" s="106"/>
    </row>
    <row r="221" spans="1:17" ht="12.75" customHeight="1">
      <c r="A221" s="113" t="s">
        <v>19</v>
      </c>
      <c r="B221" s="102">
        <f>SUM(B222:B223)</f>
        <v>0</v>
      </c>
      <c r="C221" s="102">
        <f>SUM(C222:C223)</f>
        <v>1290</v>
      </c>
      <c r="D221" s="102">
        <f>SUM(D222:D223)</f>
        <v>1290</v>
      </c>
      <c r="E221" s="102">
        <f t="shared" ref="E221:P221" si="131">SUM(E222:E223)</f>
        <v>0</v>
      </c>
      <c r="F221" s="102">
        <f t="shared" si="131"/>
        <v>1290</v>
      </c>
      <c r="G221" s="102">
        <f t="shared" si="131"/>
        <v>0</v>
      </c>
      <c r="H221" s="102">
        <f t="shared" si="131"/>
        <v>1290</v>
      </c>
      <c r="I221" s="139">
        <f>SUM(I222:I223)</f>
        <v>0</v>
      </c>
      <c r="J221" s="139">
        <f>SUM(J222:J223)</f>
        <v>0</v>
      </c>
      <c r="K221" s="139">
        <f>SUM(K222:K223)</f>
        <v>0</v>
      </c>
      <c r="L221" s="139">
        <f>SUM(L222:L223)</f>
        <v>0</v>
      </c>
      <c r="M221" s="102">
        <f t="shared" si="131"/>
        <v>0</v>
      </c>
      <c r="N221" s="104">
        <f t="shared" si="131"/>
        <v>1290</v>
      </c>
      <c r="O221" s="102">
        <f t="shared" si="131"/>
        <v>0</v>
      </c>
      <c r="P221" s="105">
        <f t="shared" si="131"/>
        <v>1290</v>
      </c>
      <c r="Q221" s="106"/>
    </row>
    <row r="222" spans="1:17" ht="12.75" customHeight="1">
      <c r="A222" s="113" t="s">
        <v>20</v>
      </c>
      <c r="B222" s="114">
        <f t="shared" ref="B222:G223" si="132">+B231+B240+B249+B258+B267</f>
        <v>0</v>
      </c>
      <c r="C222" s="114">
        <f t="shared" si="132"/>
        <v>1290</v>
      </c>
      <c r="D222" s="114">
        <f t="shared" si="132"/>
        <v>1290</v>
      </c>
      <c r="E222" s="114">
        <f t="shared" si="132"/>
        <v>0</v>
      </c>
      <c r="F222" s="114">
        <f t="shared" si="132"/>
        <v>1290</v>
      </c>
      <c r="G222" s="114">
        <f t="shared" si="132"/>
        <v>0</v>
      </c>
      <c r="H222" s="114">
        <f>SUM(E222:G222)</f>
        <v>1290</v>
      </c>
      <c r="I222" s="143">
        <f t="shared" ref="I222:K223" si="133">+I231+I240+I249+I258+I267</f>
        <v>0</v>
      </c>
      <c r="J222" s="143">
        <f t="shared" si="133"/>
        <v>0</v>
      </c>
      <c r="K222" s="143">
        <f t="shared" si="133"/>
        <v>0</v>
      </c>
      <c r="L222" s="143">
        <f>SUM(I222:K222)</f>
        <v>0</v>
      </c>
      <c r="M222" s="114">
        <f t="shared" ref="M222:O223" si="134">+E222-I222</f>
        <v>0</v>
      </c>
      <c r="N222" s="115">
        <f t="shared" si="134"/>
        <v>1290</v>
      </c>
      <c r="O222" s="114">
        <f t="shared" si="134"/>
        <v>0</v>
      </c>
      <c r="P222" s="116">
        <f>SUM(M222:O222)</f>
        <v>1290</v>
      </c>
      <c r="Q222" s="106"/>
    </row>
    <row r="223" spans="1:17" ht="12.75" customHeight="1">
      <c r="A223" s="113" t="s">
        <v>21</v>
      </c>
      <c r="B223" s="114">
        <f t="shared" si="132"/>
        <v>0</v>
      </c>
      <c r="C223" s="114">
        <f t="shared" si="132"/>
        <v>0</v>
      </c>
      <c r="D223" s="114">
        <f t="shared" si="132"/>
        <v>0</v>
      </c>
      <c r="E223" s="114">
        <f t="shared" si="132"/>
        <v>0</v>
      </c>
      <c r="F223" s="114">
        <f t="shared" si="132"/>
        <v>0</v>
      </c>
      <c r="G223" s="114">
        <f t="shared" si="132"/>
        <v>0</v>
      </c>
      <c r="H223" s="114">
        <f>SUM(E223:G223)</f>
        <v>0</v>
      </c>
      <c r="I223" s="143">
        <f t="shared" si="133"/>
        <v>0</v>
      </c>
      <c r="J223" s="143">
        <f t="shared" si="133"/>
        <v>0</v>
      </c>
      <c r="K223" s="143">
        <f t="shared" si="133"/>
        <v>0</v>
      </c>
      <c r="L223" s="143">
        <f>SUM(I223:K223)</f>
        <v>0</v>
      </c>
      <c r="M223" s="114">
        <f t="shared" si="134"/>
        <v>0</v>
      </c>
      <c r="N223" s="115">
        <f t="shared" si="134"/>
        <v>0</v>
      </c>
      <c r="O223" s="114">
        <f t="shared" si="134"/>
        <v>0</v>
      </c>
      <c r="P223" s="116">
        <f>SUM(M223:O223)</f>
        <v>0</v>
      </c>
      <c r="Q223" s="106"/>
    </row>
    <row r="224" spans="1:17" ht="12.75" customHeight="1">
      <c r="A224" s="149"/>
      <c r="B224" s="150"/>
      <c r="C224" s="150"/>
      <c r="D224" s="150"/>
      <c r="E224" s="114"/>
      <c r="F224" s="114"/>
      <c r="G224" s="114"/>
      <c r="H224" s="114"/>
      <c r="I224" s="43"/>
      <c r="J224" s="43"/>
      <c r="K224" s="43"/>
      <c r="L224" s="78"/>
      <c r="M224" s="114"/>
      <c r="N224" s="115"/>
      <c r="O224" s="114"/>
      <c r="P224" s="116"/>
      <c r="Q224" s="106"/>
    </row>
    <row r="225" spans="1:17" ht="12.75" customHeight="1">
      <c r="A225" s="120" t="s">
        <v>245</v>
      </c>
      <c r="B225" s="102">
        <f>+B226+B230</f>
        <v>24339</v>
      </c>
      <c r="C225" s="102">
        <f>+C226+C230</f>
        <v>7702</v>
      </c>
      <c r="D225" s="102">
        <f>+D226+D230</f>
        <v>32041</v>
      </c>
      <c r="E225" s="102">
        <f t="shared" ref="E225:P225" si="135">+E226+E230</f>
        <v>21695</v>
      </c>
      <c r="F225" s="102">
        <f t="shared" si="135"/>
        <v>9989</v>
      </c>
      <c r="G225" s="102">
        <f t="shared" si="135"/>
        <v>6591</v>
      </c>
      <c r="H225" s="102">
        <f t="shared" si="135"/>
        <v>38275</v>
      </c>
      <c r="I225" s="45">
        <f t="shared" si="135"/>
        <v>21695</v>
      </c>
      <c r="J225" s="45">
        <f t="shared" si="135"/>
        <v>5261</v>
      </c>
      <c r="K225" s="45">
        <f t="shared" si="135"/>
        <v>6591</v>
      </c>
      <c r="L225" s="103">
        <f t="shared" si="135"/>
        <v>33547</v>
      </c>
      <c r="M225" s="102">
        <f t="shared" si="135"/>
        <v>0</v>
      </c>
      <c r="N225" s="104">
        <f t="shared" si="135"/>
        <v>4728</v>
      </c>
      <c r="O225" s="102">
        <f t="shared" si="135"/>
        <v>0</v>
      </c>
      <c r="P225" s="105">
        <f t="shared" si="135"/>
        <v>4728</v>
      </c>
      <c r="Q225" s="106">
        <f>+L225/H225</f>
        <v>0.87647289353363811</v>
      </c>
    </row>
    <row r="226" spans="1:17" ht="12.75" customHeight="1">
      <c r="A226" s="127" t="s">
        <v>15</v>
      </c>
      <c r="B226" s="108">
        <f>SUM(B227:B229)</f>
        <v>24339</v>
      </c>
      <c r="C226" s="108">
        <f>SUM(C227:C229)</f>
        <v>7702</v>
      </c>
      <c r="D226" s="108">
        <f>SUM(D227:D229)</f>
        <v>32041</v>
      </c>
      <c r="E226" s="108">
        <f t="shared" ref="E226:P226" si="136">SUM(E227:E229)</f>
        <v>21695</v>
      </c>
      <c r="F226" s="108">
        <f t="shared" si="136"/>
        <v>9989</v>
      </c>
      <c r="G226" s="108">
        <f t="shared" si="136"/>
        <v>6591</v>
      </c>
      <c r="H226" s="108">
        <f t="shared" si="136"/>
        <v>38275</v>
      </c>
      <c r="I226" s="109">
        <f>SUM(I227:I229)</f>
        <v>21695</v>
      </c>
      <c r="J226" s="109">
        <f>SUM(J227:J229)</f>
        <v>5261</v>
      </c>
      <c r="K226" s="109">
        <f>SUM(K227:K229)</f>
        <v>6591</v>
      </c>
      <c r="L226" s="110">
        <f>SUM(L227:L229)</f>
        <v>33547</v>
      </c>
      <c r="M226" s="108">
        <f t="shared" si="136"/>
        <v>0</v>
      </c>
      <c r="N226" s="111">
        <f t="shared" si="136"/>
        <v>4728</v>
      </c>
      <c r="O226" s="108">
        <f t="shared" si="136"/>
        <v>0</v>
      </c>
      <c r="P226" s="112">
        <f t="shared" si="136"/>
        <v>4728</v>
      </c>
      <c r="Q226" s="106"/>
    </row>
    <row r="227" spans="1:17" ht="12.75" customHeight="1">
      <c r="A227" s="113" t="s">
        <v>16</v>
      </c>
      <c r="B227" s="114">
        <v>23006</v>
      </c>
      <c r="C227" s="114"/>
      <c r="D227" s="114">
        <f>+B227+C227</f>
        <v>23006</v>
      </c>
      <c r="E227" s="114">
        <v>15975</v>
      </c>
      <c r="F227" s="114">
        <v>7031</v>
      </c>
      <c r="G227" s="114">
        <v>6111</v>
      </c>
      <c r="H227" s="114">
        <f>SUM(E227:G227)</f>
        <v>29117</v>
      </c>
      <c r="I227" s="43">
        <v>15975</v>
      </c>
      <c r="J227" s="43">
        <v>2303</v>
      </c>
      <c r="K227" s="43">
        <f>6591-480</f>
        <v>6111</v>
      </c>
      <c r="L227" s="78">
        <f>SUM(I227:K227)</f>
        <v>24389</v>
      </c>
      <c r="M227" s="114">
        <f t="shared" ref="M227:O229" si="137">+E227-I227</f>
        <v>0</v>
      </c>
      <c r="N227" s="115">
        <f t="shared" si="137"/>
        <v>4728</v>
      </c>
      <c r="O227" s="114">
        <f t="shared" si="137"/>
        <v>0</v>
      </c>
      <c r="P227" s="116">
        <f>SUM(M227:O227)</f>
        <v>4728</v>
      </c>
      <c r="Q227" s="106"/>
    </row>
    <row r="228" spans="1:17" ht="12.75" customHeight="1">
      <c r="A228" s="113" t="s">
        <v>17</v>
      </c>
      <c r="B228" s="114"/>
      <c r="C228" s="114">
        <f>+H228</f>
        <v>7702</v>
      </c>
      <c r="D228" s="114">
        <f>+B228+C228</f>
        <v>7702</v>
      </c>
      <c r="E228" s="114">
        <v>4264</v>
      </c>
      <c r="F228" s="114">
        <v>2958</v>
      </c>
      <c r="G228" s="114">
        <v>480</v>
      </c>
      <c r="H228" s="114">
        <f>SUM(E228:G228)</f>
        <v>7702</v>
      </c>
      <c r="I228" s="43">
        <v>4264</v>
      </c>
      <c r="J228" s="43">
        <v>2958</v>
      </c>
      <c r="K228" s="43">
        <v>480</v>
      </c>
      <c r="L228" s="78">
        <f>SUM(I228:K228)</f>
        <v>7702</v>
      </c>
      <c r="M228" s="114">
        <f t="shared" si="137"/>
        <v>0</v>
      </c>
      <c r="N228" s="115">
        <f t="shared" si="137"/>
        <v>0</v>
      </c>
      <c r="O228" s="114">
        <f t="shared" si="137"/>
        <v>0</v>
      </c>
      <c r="P228" s="116">
        <f>SUM(M228:O228)</f>
        <v>0</v>
      </c>
      <c r="Q228" s="106"/>
    </row>
    <row r="229" spans="1:17" ht="12.75" customHeight="1">
      <c r="A229" s="113" t="s">
        <v>18</v>
      </c>
      <c r="B229" s="114">
        <v>1333</v>
      </c>
      <c r="C229" s="114"/>
      <c r="D229" s="114">
        <f>+B229+C229</f>
        <v>1333</v>
      </c>
      <c r="E229" s="114">
        <v>1456</v>
      </c>
      <c r="F229" s="114"/>
      <c r="G229" s="114"/>
      <c r="H229" s="114">
        <f>SUM(E229:G229)</f>
        <v>1456</v>
      </c>
      <c r="I229" s="43">
        <v>1456</v>
      </c>
      <c r="J229" s="43"/>
      <c r="K229" s="43"/>
      <c r="L229" s="78">
        <f>SUM(I229:K229)</f>
        <v>1456</v>
      </c>
      <c r="M229" s="114">
        <f t="shared" si="137"/>
        <v>0</v>
      </c>
      <c r="N229" s="115">
        <f t="shared" si="137"/>
        <v>0</v>
      </c>
      <c r="O229" s="114">
        <f t="shared" si="137"/>
        <v>0</v>
      </c>
      <c r="P229" s="116">
        <f>SUM(M229:O229)</f>
        <v>0</v>
      </c>
      <c r="Q229" s="106"/>
    </row>
    <row r="230" spans="1:17" ht="12.75" customHeight="1">
      <c r="A230" s="113" t="s">
        <v>19</v>
      </c>
      <c r="B230" s="102">
        <f>SUM(B231:B232)</f>
        <v>0</v>
      </c>
      <c r="C230" s="102">
        <f>SUM(C231:C232)</f>
        <v>0</v>
      </c>
      <c r="D230" s="102">
        <f>SUM(D231:D232)</f>
        <v>0</v>
      </c>
      <c r="E230" s="102">
        <f t="shared" ref="E230:P230" si="138">SUM(E231:E232)</f>
        <v>0</v>
      </c>
      <c r="F230" s="102">
        <f t="shared" si="138"/>
        <v>0</v>
      </c>
      <c r="G230" s="102">
        <f t="shared" si="138"/>
        <v>0</v>
      </c>
      <c r="H230" s="102">
        <f t="shared" si="138"/>
        <v>0</v>
      </c>
      <c r="I230" s="45">
        <f>SUM(I231:I232)</f>
        <v>0</v>
      </c>
      <c r="J230" s="45">
        <f>SUM(J231:J232)</f>
        <v>0</v>
      </c>
      <c r="K230" s="45">
        <f>SUM(K231:K232)</f>
        <v>0</v>
      </c>
      <c r="L230" s="103">
        <f>SUM(L231:L232)</f>
        <v>0</v>
      </c>
      <c r="M230" s="102">
        <f t="shared" si="138"/>
        <v>0</v>
      </c>
      <c r="N230" s="104">
        <f t="shared" si="138"/>
        <v>0</v>
      </c>
      <c r="O230" s="102">
        <f t="shared" si="138"/>
        <v>0</v>
      </c>
      <c r="P230" s="105">
        <f t="shared" si="138"/>
        <v>0</v>
      </c>
      <c r="Q230" s="106"/>
    </row>
    <row r="231" spans="1:17" ht="12.75" customHeight="1">
      <c r="A231" s="113" t="s">
        <v>20</v>
      </c>
      <c r="B231" s="114"/>
      <c r="C231" s="114"/>
      <c r="D231" s="114">
        <f>+B231+C231</f>
        <v>0</v>
      </c>
      <c r="E231" s="114"/>
      <c r="F231" s="114"/>
      <c r="G231" s="114"/>
      <c r="H231" s="114">
        <f>SUM(E231:G231)</f>
        <v>0</v>
      </c>
      <c r="I231" s="43"/>
      <c r="J231" s="43"/>
      <c r="K231" s="43"/>
      <c r="L231" s="78">
        <f>SUM(I231:K231)</f>
        <v>0</v>
      </c>
      <c r="M231" s="114">
        <f t="shared" ref="M231:O232" si="139">+E231-I231</f>
        <v>0</v>
      </c>
      <c r="N231" s="115">
        <f t="shared" si="139"/>
        <v>0</v>
      </c>
      <c r="O231" s="114">
        <f t="shared" si="139"/>
        <v>0</v>
      </c>
      <c r="P231" s="116">
        <f>SUM(M231:O231)</f>
        <v>0</v>
      </c>
      <c r="Q231" s="106"/>
    </row>
    <row r="232" spans="1:17" ht="12.75" customHeight="1">
      <c r="A232" s="113" t="s">
        <v>21</v>
      </c>
      <c r="B232" s="114"/>
      <c r="C232" s="114">
        <f>+H232</f>
        <v>0</v>
      </c>
      <c r="D232" s="114">
        <f>+B232+C232</f>
        <v>0</v>
      </c>
      <c r="E232" s="114"/>
      <c r="F232" s="114"/>
      <c r="G232" s="114"/>
      <c r="H232" s="114">
        <f>SUM(E232:G232)</f>
        <v>0</v>
      </c>
      <c r="I232" s="43"/>
      <c r="J232" s="43"/>
      <c r="K232" s="43"/>
      <c r="L232" s="78">
        <f>SUM(I232:K232)</f>
        <v>0</v>
      </c>
      <c r="M232" s="114">
        <f t="shared" si="139"/>
        <v>0</v>
      </c>
      <c r="N232" s="115">
        <f t="shared" si="139"/>
        <v>0</v>
      </c>
      <c r="O232" s="114">
        <f t="shared" si="139"/>
        <v>0</v>
      </c>
      <c r="P232" s="116">
        <f>SUM(M232:O232)</f>
        <v>0</v>
      </c>
      <c r="Q232" s="106"/>
    </row>
    <row r="233" spans="1:17" ht="12.75" customHeight="1">
      <c r="A233" s="121"/>
      <c r="B233" s="122"/>
      <c r="C233" s="122"/>
      <c r="D233" s="122"/>
      <c r="E233" s="114"/>
      <c r="F233" s="114"/>
      <c r="G233" s="114"/>
      <c r="H233" s="114"/>
      <c r="I233" s="43"/>
      <c r="J233" s="43"/>
      <c r="K233" s="43"/>
      <c r="L233" s="78"/>
      <c r="M233" s="114"/>
      <c r="N233" s="115"/>
      <c r="O233" s="114"/>
      <c r="P233" s="116"/>
      <c r="Q233" s="106"/>
    </row>
    <row r="234" spans="1:17" ht="12.75" customHeight="1">
      <c r="A234" s="120" t="s">
        <v>246</v>
      </c>
      <c r="B234" s="102">
        <f>+B235+B239</f>
        <v>412082</v>
      </c>
      <c r="C234" s="102">
        <f>+C235+C239</f>
        <v>31901</v>
      </c>
      <c r="D234" s="102">
        <f>+D235+D239</f>
        <v>443983</v>
      </c>
      <c r="E234" s="102">
        <f t="shared" ref="E234:P234" si="140">+E235+E239</f>
        <v>366894</v>
      </c>
      <c r="F234" s="102">
        <f t="shared" si="140"/>
        <v>74789</v>
      </c>
      <c r="G234" s="102">
        <f t="shared" si="140"/>
        <v>36425</v>
      </c>
      <c r="H234" s="102">
        <f t="shared" si="140"/>
        <v>478108</v>
      </c>
      <c r="I234" s="45">
        <f t="shared" si="140"/>
        <v>364902</v>
      </c>
      <c r="J234" s="45">
        <f t="shared" si="140"/>
        <v>72485</v>
      </c>
      <c r="K234" s="45">
        <f t="shared" si="140"/>
        <v>27512</v>
      </c>
      <c r="L234" s="103">
        <f t="shared" si="140"/>
        <v>464899</v>
      </c>
      <c r="M234" s="102">
        <f t="shared" si="140"/>
        <v>1992</v>
      </c>
      <c r="N234" s="104">
        <f t="shared" si="140"/>
        <v>2304</v>
      </c>
      <c r="O234" s="102">
        <f t="shared" si="140"/>
        <v>8913</v>
      </c>
      <c r="P234" s="105">
        <f t="shared" si="140"/>
        <v>13209</v>
      </c>
      <c r="Q234" s="106">
        <f>+L234/H234</f>
        <v>0.9723723510169251</v>
      </c>
    </row>
    <row r="235" spans="1:17" ht="12.75" customHeight="1">
      <c r="A235" s="127" t="s">
        <v>15</v>
      </c>
      <c r="B235" s="108">
        <f>SUM(B236:B238)</f>
        <v>412082</v>
      </c>
      <c r="C235" s="108">
        <f>SUM(C236:C238)</f>
        <v>31901</v>
      </c>
      <c r="D235" s="108">
        <f>SUM(D236:D238)</f>
        <v>443983</v>
      </c>
      <c r="E235" s="108">
        <f t="shared" ref="E235:P235" si="141">SUM(E236:E238)</f>
        <v>366894</v>
      </c>
      <c r="F235" s="108">
        <f t="shared" si="141"/>
        <v>74789</v>
      </c>
      <c r="G235" s="108">
        <f t="shared" si="141"/>
        <v>36425</v>
      </c>
      <c r="H235" s="108">
        <f t="shared" si="141"/>
        <v>478108</v>
      </c>
      <c r="I235" s="109">
        <f>SUM(I236:I238)</f>
        <v>364902</v>
      </c>
      <c r="J235" s="109">
        <f>SUM(J236:J238)</f>
        <v>72485</v>
      </c>
      <c r="K235" s="109">
        <f>SUM(K236:K238)</f>
        <v>27512</v>
      </c>
      <c r="L235" s="110">
        <f>SUM(L236:L238)</f>
        <v>464899</v>
      </c>
      <c r="M235" s="108">
        <f t="shared" si="141"/>
        <v>1992</v>
      </c>
      <c r="N235" s="111">
        <f t="shared" si="141"/>
        <v>2304</v>
      </c>
      <c r="O235" s="108">
        <f t="shared" si="141"/>
        <v>8913</v>
      </c>
      <c r="P235" s="112">
        <f t="shared" si="141"/>
        <v>13209</v>
      </c>
      <c r="Q235" s="106"/>
    </row>
    <row r="236" spans="1:17" ht="12.75" customHeight="1">
      <c r="A236" s="113" t="s">
        <v>16</v>
      </c>
      <c r="B236" s="114">
        <v>383659</v>
      </c>
      <c r="C236" s="114"/>
      <c r="D236" s="114">
        <f>+B236+C236</f>
        <v>383659</v>
      </c>
      <c r="E236" s="114">
        <v>306570</v>
      </c>
      <c r="F236" s="114">
        <v>74789</v>
      </c>
      <c r="G236" s="114">
        <v>36425</v>
      </c>
      <c r="H236" s="114">
        <f>SUM(E236:G236)</f>
        <v>417784</v>
      </c>
      <c r="I236" s="43">
        <v>306552</v>
      </c>
      <c r="J236" s="43">
        <v>72485</v>
      </c>
      <c r="K236" s="43">
        <v>27512</v>
      </c>
      <c r="L236" s="78">
        <f>SUM(I236:K236)</f>
        <v>406549</v>
      </c>
      <c r="M236" s="114">
        <f t="shared" ref="M236:O238" si="142">+E236-I236</f>
        <v>18</v>
      </c>
      <c r="N236" s="115">
        <f t="shared" si="142"/>
        <v>2304</v>
      </c>
      <c r="O236" s="114">
        <f t="shared" si="142"/>
        <v>8913</v>
      </c>
      <c r="P236" s="116">
        <f>SUM(M236:O236)</f>
        <v>11235</v>
      </c>
      <c r="Q236" s="106"/>
    </row>
    <row r="237" spans="1:17" ht="12.75" customHeight="1">
      <c r="A237" s="113" t="s">
        <v>17</v>
      </c>
      <c r="B237" s="114"/>
      <c r="C237" s="114">
        <f>+H237</f>
        <v>31901</v>
      </c>
      <c r="D237" s="114">
        <f>+B237+C237</f>
        <v>31901</v>
      </c>
      <c r="E237" s="114">
        <v>31901</v>
      </c>
      <c r="F237" s="114"/>
      <c r="G237" s="114"/>
      <c r="H237" s="114">
        <f>SUM(E237:G237)</f>
        <v>31901</v>
      </c>
      <c r="I237" s="43">
        <v>31509</v>
      </c>
      <c r="J237" s="43"/>
      <c r="K237" s="43"/>
      <c r="L237" s="78">
        <f>SUM(I237:K237)</f>
        <v>31509</v>
      </c>
      <c r="M237" s="114">
        <f t="shared" si="142"/>
        <v>392</v>
      </c>
      <c r="N237" s="115">
        <f t="shared" si="142"/>
        <v>0</v>
      </c>
      <c r="O237" s="114">
        <f t="shared" si="142"/>
        <v>0</v>
      </c>
      <c r="P237" s="116">
        <f>SUM(M237:O237)</f>
        <v>392</v>
      </c>
      <c r="Q237" s="106"/>
    </row>
    <row r="238" spans="1:17" ht="12.75" customHeight="1">
      <c r="A238" s="113" t="s">
        <v>18</v>
      </c>
      <c r="B238" s="114">
        <v>28423</v>
      </c>
      <c r="C238" s="114"/>
      <c r="D238" s="114">
        <f>+B238+C238</f>
        <v>28423</v>
      </c>
      <c r="E238" s="114">
        <v>28423</v>
      </c>
      <c r="F238" s="114"/>
      <c r="G238" s="114"/>
      <c r="H238" s="114">
        <f>SUM(E238:G238)</f>
        <v>28423</v>
      </c>
      <c r="I238" s="43">
        <v>26841</v>
      </c>
      <c r="J238" s="43"/>
      <c r="K238" s="43"/>
      <c r="L238" s="78">
        <f>SUM(I238:K238)</f>
        <v>26841</v>
      </c>
      <c r="M238" s="114">
        <f t="shared" si="142"/>
        <v>1582</v>
      </c>
      <c r="N238" s="115">
        <f t="shared" si="142"/>
        <v>0</v>
      </c>
      <c r="O238" s="114">
        <f t="shared" si="142"/>
        <v>0</v>
      </c>
      <c r="P238" s="116">
        <f>SUM(M238:O238)</f>
        <v>1582</v>
      </c>
      <c r="Q238" s="106"/>
    </row>
    <row r="239" spans="1:17" ht="12.75" customHeight="1">
      <c r="A239" s="113" t="s">
        <v>19</v>
      </c>
      <c r="B239" s="102">
        <f>SUM(B240:B241)</f>
        <v>0</v>
      </c>
      <c r="C239" s="102">
        <f>SUM(C240:C241)</f>
        <v>0</v>
      </c>
      <c r="D239" s="102">
        <f>SUM(D240:D241)</f>
        <v>0</v>
      </c>
      <c r="E239" s="102">
        <f t="shared" ref="E239:P239" si="143">SUM(E240:E241)</f>
        <v>0</v>
      </c>
      <c r="F239" s="102">
        <f t="shared" si="143"/>
        <v>0</v>
      </c>
      <c r="G239" s="102">
        <f t="shared" si="143"/>
        <v>0</v>
      </c>
      <c r="H239" s="102">
        <f t="shared" si="143"/>
        <v>0</v>
      </c>
      <c r="I239" s="45">
        <f>SUM(I240:I241)</f>
        <v>0</v>
      </c>
      <c r="J239" s="45">
        <f>SUM(J240:J241)</f>
        <v>0</v>
      </c>
      <c r="K239" s="45">
        <f>SUM(K240:K241)</f>
        <v>0</v>
      </c>
      <c r="L239" s="103">
        <f>SUM(L240:L241)</f>
        <v>0</v>
      </c>
      <c r="M239" s="102">
        <f t="shared" si="143"/>
        <v>0</v>
      </c>
      <c r="N239" s="104">
        <f t="shared" si="143"/>
        <v>0</v>
      </c>
      <c r="O239" s="102">
        <f t="shared" si="143"/>
        <v>0</v>
      </c>
      <c r="P239" s="105">
        <f t="shared" si="143"/>
        <v>0</v>
      </c>
      <c r="Q239" s="106"/>
    </row>
    <row r="240" spans="1:17" ht="12.75" customHeight="1">
      <c r="A240" s="113" t="s">
        <v>20</v>
      </c>
      <c r="B240" s="114"/>
      <c r="C240" s="114"/>
      <c r="D240" s="114">
        <f>+B240+C240</f>
        <v>0</v>
      </c>
      <c r="E240" s="114"/>
      <c r="F240" s="114"/>
      <c r="G240" s="114"/>
      <c r="H240" s="114">
        <f>SUM(E240:G240)</f>
        <v>0</v>
      </c>
      <c r="I240" s="43"/>
      <c r="J240" s="43"/>
      <c r="K240" s="43"/>
      <c r="L240" s="78">
        <f>SUM(I240:K240)</f>
        <v>0</v>
      </c>
      <c r="M240" s="114">
        <f t="shared" ref="M240:O241" si="144">+E240-I240</f>
        <v>0</v>
      </c>
      <c r="N240" s="115">
        <f t="shared" si="144"/>
        <v>0</v>
      </c>
      <c r="O240" s="114">
        <f t="shared" si="144"/>
        <v>0</v>
      </c>
      <c r="P240" s="116">
        <f>SUM(M240:O240)</f>
        <v>0</v>
      </c>
      <c r="Q240" s="106"/>
    </row>
    <row r="241" spans="1:17" ht="12.75" customHeight="1">
      <c r="A241" s="113" t="s">
        <v>21</v>
      </c>
      <c r="B241" s="114"/>
      <c r="C241" s="114">
        <f>+H241</f>
        <v>0</v>
      </c>
      <c r="D241" s="114">
        <f>+B241+C241</f>
        <v>0</v>
      </c>
      <c r="E241" s="114"/>
      <c r="F241" s="114"/>
      <c r="G241" s="114"/>
      <c r="H241" s="114">
        <f>SUM(E241:G241)</f>
        <v>0</v>
      </c>
      <c r="I241" s="43"/>
      <c r="J241" s="43"/>
      <c r="K241" s="43"/>
      <c r="L241" s="78">
        <f>SUM(I241:K241)</f>
        <v>0</v>
      </c>
      <c r="M241" s="114">
        <f t="shared" si="144"/>
        <v>0</v>
      </c>
      <c r="N241" s="115">
        <f t="shared" si="144"/>
        <v>0</v>
      </c>
      <c r="O241" s="114">
        <f t="shared" si="144"/>
        <v>0</v>
      </c>
      <c r="P241" s="116">
        <f>SUM(M241:O241)</f>
        <v>0</v>
      </c>
      <c r="Q241" s="106"/>
    </row>
    <row r="242" spans="1:17" ht="12.75" customHeight="1">
      <c r="A242" s="121"/>
      <c r="B242" s="122"/>
      <c r="C242" s="122"/>
      <c r="D242" s="122"/>
      <c r="E242" s="114"/>
      <c r="F242" s="114"/>
      <c r="G242" s="114"/>
      <c r="H242" s="114"/>
      <c r="I242" s="43"/>
      <c r="J242" s="43"/>
      <c r="K242" s="43"/>
      <c r="L242" s="78"/>
      <c r="M242" s="114"/>
      <c r="N242" s="115"/>
      <c r="O242" s="114"/>
      <c r="P242" s="116"/>
      <c r="Q242" s="106"/>
    </row>
    <row r="243" spans="1:17" ht="12.75" customHeight="1">
      <c r="A243" s="120" t="s">
        <v>247</v>
      </c>
      <c r="B243" s="102">
        <f>+B244+B248</f>
        <v>550691</v>
      </c>
      <c r="C243" s="102">
        <f>+C244+C248</f>
        <v>122744</v>
      </c>
      <c r="D243" s="102">
        <f>+D244+D248</f>
        <v>673435</v>
      </c>
      <c r="E243" s="102">
        <f t="shared" ref="E243:P243" si="145">+E244+E248</f>
        <v>526084</v>
      </c>
      <c r="F243" s="102">
        <f t="shared" si="145"/>
        <v>106492</v>
      </c>
      <c r="G243" s="102">
        <f t="shared" si="145"/>
        <v>41058</v>
      </c>
      <c r="H243" s="102">
        <f t="shared" si="145"/>
        <v>673634</v>
      </c>
      <c r="I243" s="45">
        <f t="shared" si="145"/>
        <v>526027</v>
      </c>
      <c r="J243" s="45">
        <f t="shared" si="145"/>
        <v>104854</v>
      </c>
      <c r="K243" s="45">
        <f t="shared" si="145"/>
        <v>36910</v>
      </c>
      <c r="L243" s="103">
        <f t="shared" si="145"/>
        <v>667791</v>
      </c>
      <c r="M243" s="102">
        <f t="shared" si="145"/>
        <v>57</v>
      </c>
      <c r="N243" s="104">
        <f t="shared" si="145"/>
        <v>1638</v>
      </c>
      <c r="O243" s="102">
        <f t="shared" si="145"/>
        <v>4148</v>
      </c>
      <c r="P243" s="105">
        <f t="shared" si="145"/>
        <v>5843</v>
      </c>
      <c r="Q243" s="106">
        <f>+L243/H243</f>
        <v>0.99132615040214711</v>
      </c>
    </row>
    <row r="244" spans="1:17" ht="12.75" customHeight="1">
      <c r="A244" s="127" t="s">
        <v>15</v>
      </c>
      <c r="B244" s="108">
        <f>SUM(B245:B247)</f>
        <v>550691</v>
      </c>
      <c r="C244" s="108">
        <f>SUM(C245:C247)</f>
        <v>122744</v>
      </c>
      <c r="D244" s="108">
        <f>SUM(D245:D247)</f>
        <v>673435</v>
      </c>
      <c r="E244" s="108">
        <f t="shared" ref="E244:P244" si="146">SUM(E245:E247)</f>
        <v>526084</v>
      </c>
      <c r="F244" s="108">
        <f t="shared" si="146"/>
        <v>106492</v>
      </c>
      <c r="G244" s="108">
        <f t="shared" si="146"/>
        <v>41058</v>
      </c>
      <c r="H244" s="108">
        <f t="shared" si="146"/>
        <v>673634</v>
      </c>
      <c r="I244" s="109">
        <f>SUM(I245:I247)</f>
        <v>526027</v>
      </c>
      <c r="J244" s="109">
        <f>SUM(J245:J247)</f>
        <v>104854</v>
      </c>
      <c r="K244" s="109">
        <f>SUM(K245:K247)</f>
        <v>36910</v>
      </c>
      <c r="L244" s="110">
        <f>SUM(L245:L247)</f>
        <v>667791</v>
      </c>
      <c r="M244" s="108">
        <f t="shared" si="146"/>
        <v>57</v>
      </c>
      <c r="N244" s="111">
        <f t="shared" si="146"/>
        <v>1638</v>
      </c>
      <c r="O244" s="108">
        <f t="shared" si="146"/>
        <v>4148</v>
      </c>
      <c r="P244" s="112">
        <f t="shared" si="146"/>
        <v>5843</v>
      </c>
      <c r="Q244" s="106"/>
    </row>
    <row r="245" spans="1:17" ht="12.75" customHeight="1">
      <c r="A245" s="113" t="s">
        <v>16</v>
      </c>
      <c r="B245" s="114">
        <v>512172</v>
      </c>
      <c r="C245" s="114">
        <v>41058</v>
      </c>
      <c r="D245" s="114">
        <f>+B245+C245</f>
        <v>553230</v>
      </c>
      <c r="E245" s="114">
        <v>405680</v>
      </c>
      <c r="F245" s="114">
        <v>106492</v>
      </c>
      <c r="G245" s="114">
        <v>41058</v>
      </c>
      <c r="H245" s="114">
        <f>SUM(E245:G245)</f>
        <v>553230</v>
      </c>
      <c r="I245" s="43">
        <v>405678</v>
      </c>
      <c r="J245" s="43">
        <v>104854</v>
      </c>
      <c r="K245" s="43">
        <v>36910</v>
      </c>
      <c r="L245" s="78">
        <f>SUM(I245:K245)</f>
        <v>547442</v>
      </c>
      <c r="M245" s="114">
        <f t="shared" ref="M245:O247" si="147">+E245-I245</f>
        <v>2</v>
      </c>
      <c r="N245" s="115">
        <f t="shared" si="147"/>
        <v>1638</v>
      </c>
      <c r="O245" s="114">
        <f t="shared" si="147"/>
        <v>4148</v>
      </c>
      <c r="P245" s="116">
        <f>SUM(M245:O245)</f>
        <v>5788</v>
      </c>
      <c r="Q245" s="106"/>
    </row>
    <row r="246" spans="1:17" ht="12.75" customHeight="1">
      <c r="A246" s="113" t="s">
        <v>17</v>
      </c>
      <c r="B246" s="114"/>
      <c r="C246" s="114">
        <f>+H246</f>
        <v>81686</v>
      </c>
      <c r="D246" s="114">
        <f>+B246+C246</f>
        <v>81686</v>
      </c>
      <c r="E246" s="114">
        <v>81686</v>
      </c>
      <c r="F246" s="114"/>
      <c r="G246" s="114"/>
      <c r="H246" s="114">
        <f>SUM(E246:G246)</f>
        <v>81686</v>
      </c>
      <c r="I246" s="43">
        <v>81633</v>
      </c>
      <c r="J246" s="43"/>
      <c r="K246" s="43"/>
      <c r="L246" s="78">
        <f>SUM(I246:K246)</f>
        <v>81633</v>
      </c>
      <c r="M246" s="114">
        <f t="shared" si="147"/>
        <v>53</v>
      </c>
      <c r="N246" s="115">
        <f t="shared" si="147"/>
        <v>0</v>
      </c>
      <c r="O246" s="114">
        <f t="shared" si="147"/>
        <v>0</v>
      </c>
      <c r="P246" s="116">
        <f>SUM(M246:O246)</f>
        <v>53</v>
      </c>
      <c r="Q246" s="106"/>
    </row>
    <row r="247" spans="1:17" ht="12.75" customHeight="1">
      <c r="A247" s="113" t="s">
        <v>18</v>
      </c>
      <c r="B247" s="114">
        <v>38519</v>
      </c>
      <c r="C247" s="114"/>
      <c r="D247" s="114">
        <f>+B247+C247</f>
        <v>38519</v>
      </c>
      <c r="E247" s="114">
        <v>38718</v>
      </c>
      <c r="F247" s="114"/>
      <c r="G247" s="114"/>
      <c r="H247" s="114">
        <f>SUM(E247:G247)</f>
        <v>38718</v>
      </c>
      <c r="I247" s="43">
        <v>38716</v>
      </c>
      <c r="J247" s="43"/>
      <c r="K247" s="43"/>
      <c r="L247" s="78">
        <f>SUM(I247:K247)</f>
        <v>38716</v>
      </c>
      <c r="M247" s="114">
        <f t="shared" si="147"/>
        <v>2</v>
      </c>
      <c r="N247" s="115">
        <f t="shared" si="147"/>
        <v>0</v>
      </c>
      <c r="O247" s="114">
        <f t="shared" si="147"/>
        <v>0</v>
      </c>
      <c r="P247" s="116">
        <f>SUM(M247:O247)</f>
        <v>2</v>
      </c>
      <c r="Q247" s="106"/>
    </row>
    <row r="248" spans="1:17" ht="12.75" customHeight="1">
      <c r="A248" s="113" t="s">
        <v>19</v>
      </c>
      <c r="B248" s="102">
        <f t="shared" ref="B248:P248" si="148">SUM(B249:B250)</f>
        <v>0</v>
      </c>
      <c r="C248" s="102">
        <f t="shared" si="148"/>
        <v>0</v>
      </c>
      <c r="D248" s="102">
        <f t="shared" si="148"/>
        <v>0</v>
      </c>
      <c r="E248" s="102">
        <f t="shared" si="148"/>
        <v>0</v>
      </c>
      <c r="F248" s="102">
        <f t="shared" si="148"/>
        <v>0</v>
      </c>
      <c r="G248" s="102">
        <f t="shared" si="148"/>
        <v>0</v>
      </c>
      <c r="H248" s="102">
        <f t="shared" si="148"/>
        <v>0</v>
      </c>
      <c r="I248" s="45">
        <f t="shared" si="148"/>
        <v>0</v>
      </c>
      <c r="J248" s="45">
        <f t="shared" si="148"/>
        <v>0</v>
      </c>
      <c r="K248" s="45">
        <f t="shared" si="148"/>
        <v>0</v>
      </c>
      <c r="L248" s="103">
        <f t="shared" si="148"/>
        <v>0</v>
      </c>
      <c r="M248" s="102">
        <f t="shared" si="148"/>
        <v>0</v>
      </c>
      <c r="N248" s="104">
        <f t="shared" si="148"/>
        <v>0</v>
      </c>
      <c r="O248" s="102">
        <f t="shared" si="148"/>
        <v>0</v>
      </c>
      <c r="P248" s="105">
        <f t="shared" si="148"/>
        <v>0</v>
      </c>
      <c r="Q248" s="106"/>
    </row>
    <row r="249" spans="1:17" ht="12.75" customHeight="1">
      <c r="A249" s="113" t="s">
        <v>20</v>
      </c>
      <c r="B249" s="114"/>
      <c r="C249" s="114">
        <f>+H249</f>
        <v>0</v>
      </c>
      <c r="D249" s="114">
        <f>+B249+C249</f>
        <v>0</v>
      </c>
      <c r="E249" s="114"/>
      <c r="F249" s="114"/>
      <c r="G249" s="114"/>
      <c r="H249" s="114">
        <f>SUM(E249:G249)</f>
        <v>0</v>
      </c>
      <c r="I249" s="43"/>
      <c r="J249" s="43"/>
      <c r="K249" s="43"/>
      <c r="L249" s="78">
        <f>SUM(I249:K249)</f>
        <v>0</v>
      </c>
      <c r="M249" s="114">
        <f t="shared" ref="M249:O250" si="149">+E249-I249</f>
        <v>0</v>
      </c>
      <c r="N249" s="115">
        <f t="shared" si="149"/>
        <v>0</v>
      </c>
      <c r="O249" s="114">
        <f t="shared" si="149"/>
        <v>0</v>
      </c>
      <c r="P249" s="116">
        <f>SUM(M249:O249)</f>
        <v>0</v>
      </c>
      <c r="Q249" s="106"/>
    </row>
    <row r="250" spans="1:17" ht="12.75" customHeight="1">
      <c r="A250" s="113" t="s">
        <v>21</v>
      </c>
      <c r="B250" s="114"/>
      <c r="C250" s="114"/>
      <c r="D250" s="114">
        <f>+B250+C250</f>
        <v>0</v>
      </c>
      <c r="E250" s="114"/>
      <c r="F250" s="114"/>
      <c r="G250" s="114"/>
      <c r="H250" s="114">
        <f>SUM(E250:G250)</f>
        <v>0</v>
      </c>
      <c r="I250" s="43"/>
      <c r="J250" s="43"/>
      <c r="K250" s="43"/>
      <c r="L250" s="78">
        <f>SUM(I250:K250)</f>
        <v>0</v>
      </c>
      <c r="M250" s="114">
        <f t="shared" si="149"/>
        <v>0</v>
      </c>
      <c r="N250" s="115">
        <f t="shared" si="149"/>
        <v>0</v>
      </c>
      <c r="O250" s="114">
        <f t="shared" si="149"/>
        <v>0</v>
      </c>
      <c r="P250" s="116">
        <f>SUM(M250:O250)</f>
        <v>0</v>
      </c>
      <c r="Q250" s="106"/>
    </row>
    <row r="251" spans="1:17" ht="12.75" customHeight="1">
      <c r="A251" s="121"/>
      <c r="B251" s="122"/>
      <c r="C251" s="122"/>
      <c r="D251" s="122"/>
      <c r="E251" s="114"/>
      <c r="F251" s="114"/>
      <c r="G251" s="114"/>
      <c r="H251" s="114"/>
      <c r="I251" s="43"/>
      <c r="J251" s="43"/>
      <c r="K251" s="43"/>
      <c r="L251" s="78"/>
      <c r="M251" s="114"/>
      <c r="N251" s="115"/>
      <c r="O251" s="114"/>
      <c r="P251" s="116"/>
      <c r="Q251" s="106"/>
    </row>
    <row r="252" spans="1:17" ht="12.75" customHeight="1">
      <c r="A252" s="120" t="s">
        <v>248</v>
      </c>
      <c r="B252" s="102">
        <f>+B253+B257</f>
        <v>269783</v>
      </c>
      <c r="C252" s="102">
        <f>+C253+C257</f>
        <v>28220</v>
      </c>
      <c r="D252" s="102">
        <f>+D253+D257</f>
        <v>298003</v>
      </c>
      <c r="E252" s="102">
        <f t="shared" ref="E252:P252" si="150">+E253+E257</f>
        <v>250746</v>
      </c>
      <c r="F252" s="102">
        <f t="shared" si="150"/>
        <v>47275</v>
      </c>
      <c r="G252" s="102">
        <f t="shared" si="150"/>
        <v>26848</v>
      </c>
      <c r="H252" s="102">
        <f t="shared" si="150"/>
        <v>324869</v>
      </c>
      <c r="I252" s="45">
        <f t="shared" si="150"/>
        <v>249972</v>
      </c>
      <c r="J252" s="45">
        <f t="shared" si="150"/>
        <v>45467</v>
      </c>
      <c r="K252" s="45">
        <f t="shared" si="150"/>
        <v>25028</v>
      </c>
      <c r="L252" s="103">
        <f t="shared" si="150"/>
        <v>320467</v>
      </c>
      <c r="M252" s="102">
        <f t="shared" si="150"/>
        <v>774</v>
      </c>
      <c r="N252" s="104">
        <f t="shared" si="150"/>
        <v>1808</v>
      </c>
      <c r="O252" s="102">
        <f t="shared" si="150"/>
        <v>1820</v>
      </c>
      <c r="P252" s="105">
        <f t="shared" si="150"/>
        <v>4402</v>
      </c>
      <c r="Q252" s="106">
        <f>+L252/H252</f>
        <v>0.98644992289199651</v>
      </c>
    </row>
    <row r="253" spans="1:17" ht="12.75" customHeight="1">
      <c r="A253" s="127" t="s">
        <v>15</v>
      </c>
      <c r="B253" s="108">
        <f>SUM(B254:B256)</f>
        <v>269783</v>
      </c>
      <c r="C253" s="108">
        <f>SUM(C254:C256)</f>
        <v>26930</v>
      </c>
      <c r="D253" s="108">
        <f>SUM(D254:D256)</f>
        <v>296713</v>
      </c>
      <c r="E253" s="108">
        <f t="shared" ref="E253:P253" si="151">SUM(E254:E256)</f>
        <v>250746</v>
      </c>
      <c r="F253" s="108">
        <f t="shared" si="151"/>
        <v>45985</v>
      </c>
      <c r="G253" s="108">
        <f t="shared" si="151"/>
        <v>26848</v>
      </c>
      <c r="H253" s="108">
        <f t="shared" si="151"/>
        <v>323579</v>
      </c>
      <c r="I253" s="109">
        <f>SUM(I254:I256)</f>
        <v>249972</v>
      </c>
      <c r="J253" s="109">
        <f>SUM(J254:J256)</f>
        <v>45467</v>
      </c>
      <c r="K253" s="109">
        <f>SUM(K254:K256)</f>
        <v>25028</v>
      </c>
      <c r="L253" s="110">
        <f>SUM(L254:L256)</f>
        <v>320467</v>
      </c>
      <c r="M253" s="108">
        <f t="shared" si="151"/>
        <v>774</v>
      </c>
      <c r="N253" s="111">
        <f t="shared" si="151"/>
        <v>518</v>
      </c>
      <c r="O253" s="108">
        <f t="shared" si="151"/>
        <v>1820</v>
      </c>
      <c r="P253" s="112">
        <f t="shared" si="151"/>
        <v>3112</v>
      </c>
      <c r="Q253" s="106"/>
    </row>
    <row r="254" spans="1:17" ht="12.75" customHeight="1">
      <c r="A254" s="113" t="s">
        <v>16</v>
      </c>
      <c r="B254" s="114">
        <v>251009</v>
      </c>
      <c r="C254" s="114"/>
      <c r="D254" s="114">
        <f>+B254+C254</f>
        <v>251009</v>
      </c>
      <c r="E254" s="114">
        <v>205024</v>
      </c>
      <c r="F254" s="114">
        <v>45985</v>
      </c>
      <c r="G254" s="114">
        <v>26848</v>
      </c>
      <c r="H254" s="114">
        <f>SUM(E254:G254)</f>
        <v>277857</v>
      </c>
      <c r="I254" s="43">
        <v>204449</v>
      </c>
      <c r="J254" s="43">
        <v>45467</v>
      </c>
      <c r="K254" s="43">
        <v>25028</v>
      </c>
      <c r="L254" s="78">
        <f>SUM(I254:K254)</f>
        <v>274944</v>
      </c>
      <c r="M254" s="114">
        <f t="shared" ref="M254:O256" si="152">+E254-I254</f>
        <v>575</v>
      </c>
      <c r="N254" s="115">
        <f t="shared" si="152"/>
        <v>518</v>
      </c>
      <c r="O254" s="114">
        <f t="shared" si="152"/>
        <v>1820</v>
      </c>
      <c r="P254" s="116">
        <f>SUM(M254:O254)</f>
        <v>2913</v>
      </c>
      <c r="Q254" s="106"/>
    </row>
    <row r="255" spans="1:17" ht="12.75" customHeight="1">
      <c r="A255" s="113" t="s">
        <v>17</v>
      </c>
      <c r="B255" s="114"/>
      <c r="C255" s="114">
        <f>+H255</f>
        <v>26930</v>
      </c>
      <c r="D255" s="114">
        <f>+B255+C255</f>
        <v>26930</v>
      </c>
      <c r="E255" s="114">
        <v>26930</v>
      </c>
      <c r="F255" s="114"/>
      <c r="G255" s="114"/>
      <c r="H255" s="114">
        <f>SUM(E255:G255)</f>
        <v>26930</v>
      </c>
      <c r="I255" s="43">
        <v>26930</v>
      </c>
      <c r="J255" s="43"/>
      <c r="K255" s="43"/>
      <c r="L255" s="78">
        <f>SUM(I255:K255)</f>
        <v>26930</v>
      </c>
      <c r="M255" s="114">
        <f t="shared" si="152"/>
        <v>0</v>
      </c>
      <c r="N255" s="115">
        <f t="shared" si="152"/>
        <v>0</v>
      </c>
      <c r="O255" s="114">
        <f t="shared" si="152"/>
        <v>0</v>
      </c>
      <c r="P255" s="116">
        <f>SUM(M255:O255)</f>
        <v>0</v>
      </c>
      <c r="Q255" s="106"/>
    </row>
    <row r="256" spans="1:17" ht="12.75" customHeight="1">
      <c r="A256" s="113" t="s">
        <v>18</v>
      </c>
      <c r="B256" s="114">
        <v>18774</v>
      </c>
      <c r="C256" s="114"/>
      <c r="D256" s="114">
        <f>+B256+C256</f>
        <v>18774</v>
      </c>
      <c r="E256" s="114">
        <v>18792</v>
      </c>
      <c r="F256" s="114"/>
      <c r="G256" s="114"/>
      <c r="H256" s="114">
        <f>SUM(E256:G256)</f>
        <v>18792</v>
      </c>
      <c r="I256" s="43">
        <v>18593</v>
      </c>
      <c r="J256" s="43"/>
      <c r="K256" s="43"/>
      <c r="L256" s="78">
        <f>SUM(I256:K256)</f>
        <v>18593</v>
      </c>
      <c r="M256" s="114">
        <f t="shared" si="152"/>
        <v>199</v>
      </c>
      <c r="N256" s="115">
        <f t="shared" si="152"/>
        <v>0</v>
      </c>
      <c r="O256" s="114">
        <f t="shared" si="152"/>
        <v>0</v>
      </c>
      <c r="P256" s="116">
        <f>SUM(M256:O256)</f>
        <v>199</v>
      </c>
      <c r="Q256" s="106"/>
    </row>
    <row r="257" spans="1:17" ht="12.75" customHeight="1">
      <c r="A257" s="113" t="s">
        <v>19</v>
      </c>
      <c r="B257" s="102">
        <f>SUM(B258:B259)</f>
        <v>0</v>
      </c>
      <c r="C257" s="102">
        <f>SUM(C258:C259)</f>
        <v>1290</v>
      </c>
      <c r="D257" s="102">
        <f>SUM(D258:D259)</f>
        <v>1290</v>
      </c>
      <c r="E257" s="102">
        <f t="shared" ref="E257:P257" si="153">SUM(E258:E259)</f>
        <v>0</v>
      </c>
      <c r="F257" s="102">
        <f t="shared" si="153"/>
        <v>1290</v>
      </c>
      <c r="G257" s="102">
        <f t="shared" si="153"/>
        <v>0</v>
      </c>
      <c r="H257" s="102">
        <f t="shared" si="153"/>
        <v>1290</v>
      </c>
      <c r="I257" s="45">
        <f>SUM(I258:I259)</f>
        <v>0</v>
      </c>
      <c r="J257" s="45">
        <f>SUM(J258:J259)</f>
        <v>0</v>
      </c>
      <c r="K257" s="45">
        <f>SUM(K258:K259)</f>
        <v>0</v>
      </c>
      <c r="L257" s="103">
        <f>SUM(L258:L259)</f>
        <v>0</v>
      </c>
      <c r="M257" s="102">
        <f t="shared" si="153"/>
        <v>0</v>
      </c>
      <c r="N257" s="104">
        <f t="shared" si="153"/>
        <v>1290</v>
      </c>
      <c r="O257" s="102">
        <f t="shared" si="153"/>
        <v>0</v>
      </c>
      <c r="P257" s="105">
        <f t="shared" si="153"/>
        <v>1290</v>
      </c>
      <c r="Q257" s="106"/>
    </row>
    <row r="258" spans="1:17" ht="12.75" customHeight="1">
      <c r="A258" s="113" t="s">
        <v>20</v>
      </c>
      <c r="B258" s="114"/>
      <c r="C258" s="114">
        <f>+H258</f>
        <v>1290</v>
      </c>
      <c r="D258" s="114">
        <f>+B258+C258</f>
        <v>1290</v>
      </c>
      <c r="E258" s="114"/>
      <c r="F258" s="114">
        <v>1290</v>
      </c>
      <c r="G258" s="114"/>
      <c r="H258" s="114">
        <f>SUM(E258:G258)</f>
        <v>1290</v>
      </c>
      <c r="I258" s="43"/>
      <c r="J258" s="43"/>
      <c r="K258" s="43"/>
      <c r="L258" s="78">
        <f>SUM(I258:K258)</f>
        <v>0</v>
      </c>
      <c r="M258" s="114">
        <f t="shared" ref="M258:O259" si="154">+E258-I258</f>
        <v>0</v>
      </c>
      <c r="N258" s="115">
        <f t="shared" si="154"/>
        <v>1290</v>
      </c>
      <c r="O258" s="114">
        <f t="shared" si="154"/>
        <v>0</v>
      </c>
      <c r="P258" s="116">
        <f>SUM(M258:O258)</f>
        <v>1290</v>
      </c>
      <c r="Q258" s="106"/>
    </row>
    <row r="259" spans="1:17" ht="12.75" customHeight="1">
      <c r="A259" s="113" t="s">
        <v>21</v>
      </c>
      <c r="B259" s="114"/>
      <c r="C259" s="114"/>
      <c r="D259" s="114">
        <f>+B259+C259</f>
        <v>0</v>
      </c>
      <c r="E259" s="114"/>
      <c r="F259" s="114"/>
      <c r="G259" s="114"/>
      <c r="H259" s="114">
        <f>SUM(E259:G259)</f>
        <v>0</v>
      </c>
      <c r="I259" s="43"/>
      <c r="J259" s="43"/>
      <c r="K259" s="43"/>
      <c r="L259" s="78">
        <f>SUM(I259:K259)</f>
        <v>0</v>
      </c>
      <c r="M259" s="114">
        <f t="shared" si="154"/>
        <v>0</v>
      </c>
      <c r="N259" s="115">
        <f t="shared" si="154"/>
        <v>0</v>
      </c>
      <c r="O259" s="114">
        <f t="shared" si="154"/>
        <v>0</v>
      </c>
      <c r="P259" s="116">
        <f>SUM(M259:O259)</f>
        <v>0</v>
      </c>
      <c r="Q259" s="106"/>
    </row>
    <row r="260" spans="1:17" ht="12.75" customHeight="1">
      <c r="A260" s="229"/>
      <c r="B260" s="230"/>
      <c r="C260" s="230"/>
      <c r="D260" s="230"/>
      <c r="E260" s="102"/>
      <c r="F260" s="102"/>
      <c r="G260" s="102"/>
      <c r="H260" s="102"/>
      <c r="I260" s="45"/>
      <c r="J260" s="45"/>
      <c r="K260" s="45"/>
      <c r="L260" s="103"/>
      <c r="M260" s="102"/>
      <c r="N260" s="104"/>
      <c r="O260" s="102"/>
      <c r="P260" s="105"/>
      <c r="Q260" s="227"/>
    </row>
    <row r="261" spans="1:17" ht="12.75" customHeight="1">
      <c r="A261" s="120" t="s">
        <v>249</v>
      </c>
      <c r="B261" s="102">
        <f>+B262+B266</f>
        <v>89992</v>
      </c>
      <c r="C261" s="102">
        <f>+C262+C266</f>
        <v>16998</v>
      </c>
      <c r="D261" s="102">
        <f>+D262+D266</f>
        <v>106990</v>
      </c>
      <c r="E261" s="102">
        <f t="shared" ref="E261:P261" si="155">+E262+E266</f>
        <v>91933</v>
      </c>
      <c r="F261" s="102">
        <f t="shared" si="155"/>
        <v>15111</v>
      </c>
      <c r="G261" s="102">
        <f t="shared" si="155"/>
        <v>9768</v>
      </c>
      <c r="H261" s="102">
        <f t="shared" si="155"/>
        <v>116812</v>
      </c>
      <c r="I261" s="45">
        <f t="shared" si="155"/>
        <v>91932</v>
      </c>
      <c r="J261" s="45">
        <f t="shared" si="155"/>
        <v>13957</v>
      </c>
      <c r="K261" s="45">
        <f t="shared" si="155"/>
        <v>9768</v>
      </c>
      <c r="L261" s="103">
        <f t="shared" si="155"/>
        <v>115657</v>
      </c>
      <c r="M261" s="102">
        <f t="shared" si="155"/>
        <v>1</v>
      </c>
      <c r="N261" s="104">
        <f t="shared" si="155"/>
        <v>1154</v>
      </c>
      <c r="O261" s="102">
        <f t="shared" si="155"/>
        <v>0</v>
      </c>
      <c r="P261" s="105">
        <f t="shared" si="155"/>
        <v>1155</v>
      </c>
      <c r="Q261" s="106">
        <f>+L261/H261</f>
        <v>0.99011231722768211</v>
      </c>
    </row>
    <row r="262" spans="1:17" ht="12.75" customHeight="1">
      <c r="A262" s="127" t="s">
        <v>15</v>
      </c>
      <c r="B262" s="108">
        <f>SUM(B263:B265)</f>
        <v>89992</v>
      </c>
      <c r="C262" s="108">
        <f>SUM(C263:C265)</f>
        <v>16998</v>
      </c>
      <c r="D262" s="108">
        <f>SUM(D263:D265)</f>
        <v>106990</v>
      </c>
      <c r="E262" s="108">
        <f t="shared" ref="E262:P262" si="156">SUM(E263:E265)</f>
        <v>91933</v>
      </c>
      <c r="F262" s="108">
        <f t="shared" si="156"/>
        <v>15111</v>
      </c>
      <c r="G262" s="108">
        <f t="shared" si="156"/>
        <v>9768</v>
      </c>
      <c r="H262" s="108">
        <f t="shared" si="156"/>
        <v>116812</v>
      </c>
      <c r="I262" s="109">
        <f>SUM(I263:I265)</f>
        <v>91932</v>
      </c>
      <c r="J262" s="109">
        <f>SUM(J263:J265)</f>
        <v>13957</v>
      </c>
      <c r="K262" s="109">
        <f>SUM(K263:K265)</f>
        <v>9768</v>
      </c>
      <c r="L262" s="110">
        <f>SUM(L263:L265)</f>
        <v>115657</v>
      </c>
      <c r="M262" s="108">
        <f t="shared" si="156"/>
        <v>1</v>
      </c>
      <c r="N262" s="111">
        <f t="shared" si="156"/>
        <v>1154</v>
      </c>
      <c r="O262" s="108">
        <f t="shared" si="156"/>
        <v>0</v>
      </c>
      <c r="P262" s="112">
        <f t="shared" si="156"/>
        <v>1155</v>
      </c>
      <c r="Q262" s="106"/>
    </row>
    <row r="263" spans="1:17" ht="12.75" customHeight="1">
      <c r="A263" s="113" t="s">
        <v>16</v>
      </c>
      <c r="B263" s="114">
        <v>83630</v>
      </c>
      <c r="C263" s="114"/>
      <c r="D263" s="114">
        <f>+B263+C263</f>
        <v>83630</v>
      </c>
      <c r="E263" s="114">
        <v>68519</v>
      </c>
      <c r="F263" s="114">
        <v>15111</v>
      </c>
      <c r="G263" s="114">
        <v>9768</v>
      </c>
      <c r="H263" s="114">
        <f>SUM(E263:G263)</f>
        <v>93398</v>
      </c>
      <c r="I263" s="43">
        <v>68519</v>
      </c>
      <c r="J263" s="43">
        <v>13957</v>
      </c>
      <c r="K263" s="43">
        <v>9768</v>
      </c>
      <c r="L263" s="78">
        <f>SUM(I263:K263)</f>
        <v>92244</v>
      </c>
      <c r="M263" s="114">
        <f t="shared" ref="M263:O265" si="157">+E263-I263</f>
        <v>0</v>
      </c>
      <c r="N263" s="115">
        <f t="shared" si="157"/>
        <v>1154</v>
      </c>
      <c r="O263" s="114">
        <f t="shared" si="157"/>
        <v>0</v>
      </c>
      <c r="P263" s="116">
        <f>SUM(M263:O263)</f>
        <v>1154</v>
      </c>
      <c r="Q263" s="106"/>
    </row>
    <row r="264" spans="1:17" ht="12.75" customHeight="1">
      <c r="A264" s="113" t="s">
        <v>17</v>
      </c>
      <c r="B264" s="114"/>
      <c r="C264" s="114">
        <f>+H264</f>
        <v>16998</v>
      </c>
      <c r="D264" s="114">
        <f>+B264+C264</f>
        <v>16998</v>
      </c>
      <c r="E264" s="114">
        <v>16998</v>
      </c>
      <c r="F264" s="114"/>
      <c r="G264" s="114"/>
      <c r="H264" s="114">
        <f>SUM(E264:G264)</f>
        <v>16998</v>
      </c>
      <c r="I264" s="43">
        <v>16998</v>
      </c>
      <c r="J264" s="43"/>
      <c r="K264" s="43"/>
      <c r="L264" s="78">
        <f>SUM(I264:K264)</f>
        <v>16998</v>
      </c>
      <c r="M264" s="114">
        <f t="shared" si="157"/>
        <v>0</v>
      </c>
      <c r="N264" s="115">
        <f t="shared" si="157"/>
        <v>0</v>
      </c>
      <c r="O264" s="114">
        <f t="shared" si="157"/>
        <v>0</v>
      </c>
      <c r="P264" s="116">
        <f>SUM(M264:O264)</f>
        <v>0</v>
      </c>
      <c r="Q264" s="106"/>
    </row>
    <row r="265" spans="1:17" ht="12.75" customHeight="1">
      <c r="A265" s="113" t="s">
        <v>18</v>
      </c>
      <c r="B265" s="114">
        <v>6362</v>
      </c>
      <c r="C265" s="114"/>
      <c r="D265" s="114">
        <f>+B265+C265</f>
        <v>6362</v>
      </c>
      <c r="E265" s="114">
        <v>6416</v>
      </c>
      <c r="F265" s="114"/>
      <c r="G265" s="114"/>
      <c r="H265" s="114">
        <f>SUM(E265:G265)</f>
        <v>6416</v>
      </c>
      <c r="I265" s="43">
        <v>6415</v>
      </c>
      <c r="J265" s="43"/>
      <c r="K265" s="43"/>
      <c r="L265" s="78">
        <f>SUM(I265:K265)</f>
        <v>6415</v>
      </c>
      <c r="M265" s="114">
        <f t="shared" si="157"/>
        <v>1</v>
      </c>
      <c r="N265" s="115">
        <f t="shared" si="157"/>
        <v>0</v>
      </c>
      <c r="O265" s="114">
        <f t="shared" si="157"/>
        <v>0</v>
      </c>
      <c r="P265" s="116">
        <f>SUM(M265:O265)</f>
        <v>1</v>
      </c>
      <c r="Q265" s="106"/>
    </row>
    <row r="266" spans="1:17" ht="12.75" customHeight="1">
      <c r="A266" s="113" t="s">
        <v>19</v>
      </c>
      <c r="B266" s="102">
        <f>SUM(B267:B268)</f>
        <v>0</v>
      </c>
      <c r="C266" s="102">
        <f>SUM(C267:C268)</f>
        <v>0</v>
      </c>
      <c r="D266" s="102">
        <f>SUM(D267:D268)</f>
        <v>0</v>
      </c>
      <c r="E266" s="102">
        <f t="shared" ref="E266:P266" si="158">SUM(E267:E268)</f>
        <v>0</v>
      </c>
      <c r="F266" s="102">
        <f t="shared" si="158"/>
        <v>0</v>
      </c>
      <c r="G266" s="102">
        <f t="shared" si="158"/>
        <v>0</v>
      </c>
      <c r="H266" s="102">
        <f t="shared" si="158"/>
        <v>0</v>
      </c>
      <c r="I266" s="45">
        <f>SUM(I267:I268)</f>
        <v>0</v>
      </c>
      <c r="J266" s="45">
        <f>SUM(J267:J268)</f>
        <v>0</v>
      </c>
      <c r="K266" s="45">
        <f>SUM(K267:K268)</f>
        <v>0</v>
      </c>
      <c r="L266" s="103">
        <f>SUM(L267:L268)</f>
        <v>0</v>
      </c>
      <c r="M266" s="102">
        <f t="shared" si="158"/>
        <v>0</v>
      </c>
      <c r="N266" s="104">
        <f t="shared" si="158"/>
        <v>0</v>
      </c>
      <c r="O266" s="102">
        <f t="shared" si="158"/>
        <v>0</v>
      </c>
      <c r="P266" s="105">
        <f t="shared" si="158"/>
        <v>0</v>
      </c>
      <c r="Q266" s="106"/>
    </row>
    <row r="267" spans="1:17" ht="12.75" customHeight="1">
      <c r="A267" s="113" t="s">
        <v>20</v>
      </c>
      <c r="B267" s="114"/>
      <c r="C267" s="114"/>
      <c r="D267" s="114">
        <f>+B267+C267</f>
        <v>0</v>
      </c>
      <c r="E267" s="114"/>
      <c r="F267" s="114"/>
      <c r="G267" s="114"/>
      <c r="H267" s="114">
        <f>SUM(E267:G267)</f>
        <v>0</v>
      </c>
      <c r="I267" s="43"/>
      <c r="J267" s="43"/>
      <c r="K267" s="43"/>
      <c r="L267" s="78">
        <f>SUM(I267:K267)</f>
        <v>0</v>
      </c>
      <c r="M267" s="114">
        <f t="shared" ref="M267:O268" si="159">+E267-I267</f>
        <v>0</v>
      </c>
      <c r="N267" s="115">
        <f t="shared" si="159"/>
        <v>0</v>
      </c>
      <c r="O267" s="114">
        <f t="shared" si="159"/>
        <v>0</v>
      </c>
      <c r="P267" s="116">
        <f>SUM(M267:O267)</f>
        <v>0</v>
      </c>
      <c r="Q267" s="106"/>
    </row>
    <row r="268" spans="1:17" ht="12.75" customHeight="1">
      <c r="A268" s="113" t="s">
        <v>21</v>
      </c>
      <c r="B268" s="114"/>
      <c r="C268" s="114">
        <f>+H268</f>
        <v>0</v>
      </c>
      <c r="D268" s="114">
        <f>+B268+C268</f>
        <v>0</v>
      </c>
      <c r="E268" s="114"/>
      <c r="F268" s="114"/>
      <c r="G268" s="114"/>
      <c r="H268" s="114">
        <f>SUM(E268:G268)</f>
        <v>0</v>
      </c>
      <c r="I268" s="43"/>
      <c r="J268" s="43"/>
      <c r="K268" s="43"/>
      <c r="L268" s="78">
        <f>SUM(I268:K268)</f>
        <v>0</v>
      </c>
      <c r="M268" s="114">
        <f t="shared" si="159"/>
        <v>0</v>
      </c>
      <c r="N268" s="115">
        <f t="shared" si="159"/>
        <v>0</v>
      </c>
      <c r="O268" s="114">
        <f t="shared" si="159"/>
        <v>0</v>
      </c>
      <c r="P268" s="116">
        <f>SUM(M268:O268)</f>
        <v>0</v>
      </c>
      <c r="Q268" s="106"/>
    </row>
    <row r="269" spans="1:17" ht="12.75" customHeight="1">
      <c r="A269" s="229"/>
      <c r="B269" s="230"/>
      <c r="C269" s="230"/>
      <c r="D269" s="230"/>
      <c r="E269" s="102"/>
      <c r="F269" s="102"/>
      <c r="G269" s="102"/>
      <c r="H269" s="102"/>
      <c r="I269" s="74"/>
      <c r="J269" s="74"/>
      <c r="K269" s="74"/>
      <c r="L269" s="138"/>
      <c r="M269" s="102"/>
      <c r="N269" s="104"/>
      <c r="O269" s="102"/>
      <c r="P269" s="105"/>
      <c r="Q269" s="227"/>
    </row>
    <row r="270" spans="1:17" ht="12.75" customHeight="1">
      <c r="A270" s="145" t="s">
        <v>250</v>
      </c>
      <c r="B270" s="102">
        <f>+B271+B275</f>
        <v>2360909</v>
      </c>
      <c r="C270" s="102">
        <f>+C271+C275</f>
        <v>550702</v>
      </c>
      <c r="D270" s="102">
        <f>+D271+D275</f>
        <v>2911611</v>
      </c>
      <c r="E270" s="102">
        <f t="shared" ref="E270:P270" si="160">+E271+E275</f>
        <v>2111554</v>
      </c>
      <c r="F270" s="102">
        <f t="shared" si="160"/>
        <v>688502</v>
      </c>
      <c r="G270" s="102">
        <f t="shared" si="160"/>
        <v>312815</v>
      </c>
      <c r="H270" s="102">
        <f t="shared" si="160"/>
        <v>3112871</v>
      </c>
      <c r="I270" s="139">
        <f>+I271+I275</f>
        <v>2094199</v>
      </c>
      <c r="J270" s="139">
        <f>+J271+J275</f>
        <v>651689</v>
      </c>
      <c r="K270" s="139">
        <f>+K271+K275</f>
        <v>205764</v>
      </c>
      <c r="L270" s="139">
        <f>+L271+L275</f>
        <v>2951652</v>
      </c>
      <c r="M270" s="102">
        <f t="shared" si="160"/>
        <v>17355</v>
      </c>
      <c r="N270" s="104">
        <f t="shared" si="160"/>
        <v>36813</v>
      </c>
      <c r="O270" s="102">
        <f t="shared" si="160"/>
        <v>107051</v>
      </c>
      <c r="P270" s="105">
        <f t="shared" si="160"/>
        <v>161219</v>
      </c>
      <c r="Q270" s="106">
        <f>+L270/H270</f>
        <v>0.94820890425591042</v>
      </c>
    </row>
    <row r="271" spans="1:17" ht="12.75" customHeight="1">
      <c r="A271" s="127" t="s">
        <v>15</v>
      </c>
      <c r="B271" s="108">
        <f>SUM(B272:B274)</f>
        <v>2360909</v>
      </c>
      <c r="C271" s="108">
        <f>SUM(C272:C274)</f>
        <v>550702</v>
      </c>
      <c r="D271" s="108">
        <f>SUM(D272:D274)</f>
        <v>2911611</v>
      </c>
      <c r="E271" s="108">
        <f t="shared" ref="E271:P271" si="161">SUM(E272:E274)</f>
        <v>2111554</v>
      </c>
      <c r="F271" s="108">
        <f t="shared" si="161"/>
        <v>677187</v>
      </c>
      <c r="G271" s="108">
        <f t="shared" si="161"/>
        <v>311872</v>
      </c>
      <c r="H271" s="108">
        <f t="shared" si="161"/>
        <v>3100613</v>
      </c>
      <c r="I271" s="141">
        <f>SUM(I272:I274)</f>
        <v>2094199</v>
      </c>
      <c r="J271" s="141">
        <f>SUM(J272:J274)</f>
        <v>641131</v>
      </c>
      <c r="K271" s="141">
        <f>SUM(K272:K274)</f>
        <v>204852</v>
      </c>
      <c r="L271" s="141">
        <f>SUM(L272:L274)</f>
        <v>2940182</v>
      </c>
      <c r="M271" s="108">
        <f t="shared" si="161"/>
        <v>17355</v>
      </c>
      <c r="N271" s="111">
        <f t="shared" si="161"/>
        <v>36056</v>
      </c>
      <c r="O271" s="108">
        <f t="shared" si="161"/>
        <v>107020</v>
      </c>
      <c r="P271" s="112">
        <f t="shared" si="161"/>
        <v>160431</v>
      </c>
      <c r="Q271" s="106"/>
    </row>
    <row r="272" spans="1:17" ht="12.75" customHeight="1">
      <c r="A272" s="113" t="s">
        <v>16</v>
      </c>
      <c r="B272" s="114">
        <f t="shared" ref="B272:G274" si="162">+B281+B290+B299+B308+B317+B326+B335+B344+B353+B362+B371+B380</f>
        <v>2219992</v>
      </c>
      <c r="C272" s="114">
        <f t="shared" si="162"/>
        <v>100235</v>
      </c>
      <c r="D272" s="114">
        <f t="shared" si="162"/>
        <v>2320227</v>
      </c>
      <c r="E272" s="114">
        <f t="shared" si="162"/>
        <v>1507189</v>
      </c>
      <c r="F272" s="114">
        <f t="shared" si="162"/>
        <v>677187</v>
      </c>
      <c r="G272" s="114">
        <f t="shared" si="162"/>
        <v>311872</v>
      </c>
      <c r="H272" s="114">
        <f>SUM(E272:G272)</f>
        <v>2496248</v>
      </c>
      <c r="I272" s="143">
        <f t="shared" ref="I272:K274" si="163">+I281+I290+I299+I308+I317+I326+I335+I344+I353+I362+I371+I380</f>
        <v>1500154</v>
      </c>
      <c r="J272" s="143">
        <f t="shared" si="163"/>
        <v>641131</v>
      </c>
      <c r="K272" s="143">
        <f t="shared" si="163"/>
        <v>204852</v>
      </c>
      <c r="L272" s="143">
        <f>SUM(I272:K272)</f>
        <v>2346137</v>
      </c>
      <c r="M272" s="114">
        <f t="shared" ref="M272:O274" si="164">+E272-I272</f>
        <v>7035</v>
      </c>
      <c r="N272" s="115">
        <f t="shared" si="164"/>
        <v>36056</v>
      </c>
      <c r="O272" s="114">
        <f t="shared" si="164"/>
        <v>107020</v>
      </c>
      <c r="P272" s="116">
        <f>SUM(M272:O272)</f>
        <v>150111</v>
      </c>
      <c r="Q272" s="106"/>
    </row>
    <row r="273" spans="1:17" ht="12.75" customHeight="1">
      <c r="A273" s="113" t="s">
        <v>17</v>
      </c>
      <c r="B273" s="114">
        <f t="shared" si="162"/>
        <v>0</v>
      </c>
      <c r="C273" s="114">
        <f t="shared" si="162"/>
        <v>450467</v>
      </c>
      <c r="D273" s="114">
        <f t="shared" si="162"/>
        <v>450467</v>
      </c>
      <c r="E273" s="114">
        <f t="shared" si="162"/>
        <v>458923</v>
      </c>
      <c r="F273" s="114">
        <f t="shared" si="162"/>
        <v>0</v>
      </c>
      <c r="G273" s="114">
        <f t="shared" si="162"/>
        <v>0</v>
      </c>
      <c r="H273" s="114">
        <f>SUM(E273:G273)</f>
        <v>458923</v>
      </c>
      <c r="I273" s="143">
        <f t="shared" si="163"/>
        <v>456932</v>
      </c>
      <c r="J273" s="143">
        <f t="shared" si="163"/>
        <v>0</v>
      </c>
      <c r="K273" s="143">
        <f t="shared" si="163"/>
        <v>0</v>
      </c>
      <c r="L273" s="143">
        <f>SUM(I273:K273)</f>
        <v>456932</v>
      </c>
      <c r="M273" s="114">
        <f t="shared" si="164"/>
        <v>1991</v>
      </c>
      <c r="N273" s="115">
        <f t="shared" si="164"/>
        <v>0</v>
      </c>
      <c r="O273" s="114">
        <f t="shared" si="164"/>
        <v>0</v>
      </c>
      <c r="P273" s="116">
        <f>SUM(M273:O273)</f>
        <v>1991</v>
      </c>
      <c r="Q273" s="106"/>
    </row>
    <row r="274" spans="1:17" ht="12.75" customHeight="1">
      <c r="A274" s="113" t="s">
        <v>18</v>
      </c>
      <c r="B274" s="114">
        <f t="shared" si="162"/>
        <v>140917</v>
      </c>
      <c r="C274" s="114">
        <f t="shared" si="162"/>
        <v>0</v>
      </c>
      <c r="D274" s="114">
        <f t="shared" si="162"/>
        <v>140917</v>
      </c>
      <c r="E274" s="114">
        <f t="shared" si="162"/>
        <v>145442</v>
      </c>
      <c r="F274" s="114">
        <f t="shared" si="162"/>
        <v>0</v>
      </c>
      <c r="G274" s="114">
        <f t="shared" si="162"/>
        <v>0</v>
      </c>
      <c r="H274" s="114">
        <f>SUM(E274:G274)</f>
        <v>145442</v>
      </c>
      <c r="I274" s="143">
        <f t="shared" si="163"/>
        <v>137113</v>
      </c>
      <c r="J274" s="143">
        <f t="shared" si="163"/>
        <v>0</v>
      </c>
      <c r="K274" s="143">
        <f t="shared" si="163"/>
        <v>0</v>
      </c>
      <c r="L274" s="143">
        <f>SUM(I274:K274)</f>
        <v>137113</v>
      </c>
      <c r="M274" s="114">
        <f t="shared" si="164"/>
        <v>8329</v>
      </c>
      <c r="N274" s="115">
        <f t="shared" si="164"/>
        <v>0</v>
      </c>
      <c r="O274" s="114">
        <f t="shared" si="164"/>
        <v>0</v>
      </c>
      <c r="P274" s="116">
        <f>SUM(M274:O274)</f>
        <v>8329</v>
      </c>
      <c r="Q274" s="106"/>
    </row>
    <row r="275" spans="1:17" ht="12.75" customHeight="1">
      <c r="A275" s="113" t="s">
        <v>19</v>
      </c>
      <c r="B275" s="102">
        <f>SUM(B276:B277)</f>
        <v>0</v>
      </c>
      <c r="C275" s="102">
        <f>SUM(C276:C277)</f>
        <v>0</v>
      </c>
      <c r="D275" s="102">
        <f>SUM(D276:D277)</f>
        <v>0</v>
      </c>
      <c r="E275" s="102">
        <f t="shared" ref="E275:P275" si="165">SUM(E276:E277)</f>
        <v>0</v>
      </c>
      <c r="F275" s="102">
        <f t="shared" si="165"/>
        <v>11315</v>
      </c>
      <c r="G275" s="102">
        <f t="shared" si="165"/>
        <v>943</v>
      </c>
      <c r="H275" s="102">
        <f t="shared" si="165"/>
        <v>12258</v>
      </c>
      <c r="I275" s="139">
        <f>SUM(I276:I277)</f>
        <v>0</v>
      </c>
      <c r="J275" s="139">
        <f>SUM(J276:J277)</f>
        <v>10558</v>
      </c>
      <c r="K275" s="139">
        <f>SUM(K276:K277)</f>
        <v>912</v>
      </c>
      <c r="L275" s="139">
        <f>SUM(L276:L277)</f>
        <v>11470</v>
      </c>
      <c r="M275" s="102">
        <f t="shared" si="165"/>
        <v>0</v>
      </c>
      <c r="N275" s="104">
        <f t="shared" si="165"/>
        <v>757</v>
      </c>
      <c r="O275" s="102">
        <f t="shared" si="165"/>
        <v>31</v>
      </c>
      <c r="P275" s="105">
        <f t="shared" si="165"/>
        <v>788</v>
      </c>
      <c r="Q275" s="106"/>
    </row>
    <row r="276" spans="1:17" ht="12.75" customHeight="1">
      <c r="A276" s="113" t="s">
        <v>20</v>
      </c>
      <c r="B276" s="114">
        <f t="shared" ref="B276:G277" si="166">+B285+B294+B303+B312+B321+B330+B339+B348+B357+B366+B375+B384</f>
        <v>0</v>
      </c>
      <c r="C276" s="114">
        <f t="shared" si="166"/>
        <v>0</v>
      </c>
      <c r="D276" s="114">
        <f t="shared" si="166"/>
        <v>0</v>
      </c>
      <c r="E276" s="114">
        <f t="shared" si="166"/>
        <v>0</v>
      </c>
      <c r="F276" s="114">
        <f t="shared" si="166"/>
        <v>11315</v>
      </c>
      <c r="G276" s="114">
        <f t="shared" si="166"/>
        <v>943</v>
      </c>
      <c r="H276" s="114">
        <f>SUM(E276:G276)</f>
        <v>12258</v>
      </c>
      <c r="I276" s="143">
        <f t="shared" ref="I276:K277" si="167">+I285+I294+I303+I312+I321+I330+I339+I348+I357+I366+I375+I384</f>
        <v>0</v>
      </c>
      <c r="J276" s="143">
        <f t="shared" si="167"/>
        <v>10558</v>
      </c>
      <c r="K276" s="143">
        <f t="shared" si="167"/>
        <v>912</v>
      </c>
      <c r="L276" s="143">
        <f>SUM(I276:K276)</f>
        <v>11470</v>
      </c>
      <c r="M276" s="114">
        <f t="shared" ref="M276:O277" si="168">+E276-I276</f>
        <v>0</v>
      </c>
      <c r="N276" s="115">
        <f t="shared" si="168"/>
        <v>757</v>
      </c>
      <c r="O276" s="114">
        <f t="shared" si="168"/>
        <v>31</v>
      </c>
      <c r="P276" s="116">
        <f>SUM(M276:O276)</f>
        <v>788</v>
      </c>
      <c r="Q276" s="106"/>
    </row>
    <row r="277" spans="1:17" ht="12.75" customHeight="1">
      <c r="A277" s="113" t="s">
        <v>21</v>
      </c>
      <c r="B277" s="114">
        <f t="shared" si="166"/>
        <v>0</v>
      </c>
      <c r="C277" s="114">
        <f t="shared" si="166"/>
        <v>0</v>
      </c>
      <c r="D277" s="114">
        <f t="shared" si="166"/>
        <v>0</v>
      </c>
      <c r="E277" s="114">
        <f t="shared" si="166"/>
        <v>0</v>
      </c>
      <c r="F277" s="114">
        <f t="shared" si="166"/>
        <v>0</v>
      </c>
      <c r="G277" s="114">
        <f t="shared" si="166"/>
        <v>0</v>
      </c>
      <c r="H277" s="114">
        <f>SUM(E277:G277)</f>
        <v>0</v>
      </c>
      <c r="I277" s="143">
        <f t="shared" si="167"/>
        <v>0</v>
      </c>
      <c r="J277" s="143">
        <f t="shared" si="167"/>
        <v>0</v>
      </c>
      <c r="K277" s="143">
        <f t="shared" si="167"/>
        <v>0</v>
      </c>
      <c r="L277" s="143">
        <f>SUM(I277:K277)</f>
        <v>0</v>
      </c>
      <c r="M277" s="114">
        <f t="shared" si="168"/>
        <v>0</v>
      </c>
      <c r="N277" s="115">
        <f t="shared" si="168"/>
        <v>0</v>
      </c>
      <c r="O277" s="114">
        <f t="shared" si="168"/>
        <v>0</v>
      </c>
      <c r="P277" s="116">
        <f>SUM(M277:O277)</f>
        <v>0</v>
      </c>
      <c r="Q277" s="106"/>
    </row>
    <row r="278" spans="1:17" ht="12.75" customHeight="1">
      <c r="A278" s="145"/>
      <c r="B278" s="146"/>
      <c r="C278" s="146"/>
      <c r="D278" s="146"/>
      <c r="E278" s="114"/>
      <c r="F278" s="114"/>
      <c r="G278" s="114"/>
      <c r="H278" s="114"/>
      <c r="I278" s="43"/>
      <c r="J278" s="43"/>
      <c r="K278" s="43"/>
      <c r="L278" s="78"/>
      <c r="M278" s="114"/>
      <c r="N278" s="115"/>
      <c r="O278" s="114"/>
      <c r="P278" s="116"/>
      <c r="Q278" s="106"/>
    </row>
    <row r="279" spans="1:17" ht="12.75" customHeight="1">
      <c r="A279" s="120" t="s">
        <v>251</v>
      </c>
      <c r="B279" s="102">
        <f>+B280+B284</f>
        <v>62349</v>
      </c>
      <c r="C279" s="102">
        <f>+C280+C284</f>
        <v>11830</v>
      </c>
      <c r="D279" s="102">
        <f>+D280+D284</f>
        <v>74179</v>
      </c>
      <c r="E279" s="102">
        <f t="shared" ref="E279:P279" si="169">+E280+E284</f>
        <v>49692</v>
      </c>
      <c r="F279" s="102">
        <f t="shared" si="169"/>
        <v>16764</v>
      </c>
      <c r="G279" s="102">
        <f t="shared" si="169"/>
        <v>13652</v>
      </c>
      <c r="H279" s="102">
        <f t="shared" si="169"/>
        <v>80108</v>
      </c>
      <c r="I279" s="45">
        <f t="shared" si="169"/>
        <v>49691</v>
      </c>
      <c r="J279" s="45">
        <f t="shared" si="169"/>
        <v>16749</v>
      </c>
      <c r="K279" s="45">
        <f t="shared" si="169"/>
        <v>10739</v>
      </c>
      <c r="L279" s="103">
        <f t="shared" si="169"/>
        <v>77179</v>
      </c>
      <c r="M279" s="102">
        <f t="shared" si="169"/>
        <v>1</v>
      </c>
      <c r="N279" s="104">
        <f t="shared" si="169"/>
        <v>15</v>
      </c>
      <c r="O279" s="102">
        <f t="shared" si="169"/>
        <v>2913</v>
      </c>
      <c r="P279" s="105">
        <f t="shared" si="169"/>
        <v>2929</v>
      </c>
      <c r="Q279" s="106">
        <f>+L279/H279</f>
        <v>0.96343686023867781</v>
      </c>
    </row>
    <row r="280" spans="1:17" ht="12.75" customHeight="1">
      <c r="A280" s="127" t="s">
        <v>15</v>
      </c>
      <c r="B280" s="108">
        <f>SUM(B281:B283)</f>
        <v>62349</v>
      </c>
      <c r="C280" s="108">
        <f>SUM(C281:C283)</f>
        <v>11830</v>
      </c>
      <c r="D280" s="108">
        <f>SUM(D281:D283)</f>
        <v>74179</v>
      </c>
      <c r="E280" s="108">
        <f t="shared" ref="E280:P280" si="170">SUM(E281:E283)</f>
        <v>49692</v>
      </c>
      <c r="F280" s="108">
        <f t="shared" si="170"/>
        <v>16764</v>
      </c>
      <c r="G280" s="108">
        <f t="shared" si="170"/>
        <v>13652</v>
      </c>
      <c r="H280" s="108">
        <f t="shared" si="170"/>
        <v>80108</v>
      </c>
      <c r="I280" s="109">
        <f>SUM(I281:I283)</f>
        <v>49691</v>
      </c>
      <c r="J280" s="109">
        <f>SUM(J281:J283)</f>
        <v>16749</v>
      </c>
      <c r="K280" s="109">
        <f>SUM(K281:K283)</f>
        <v>10739</v>
      </c>
      <c r="L280" s="110">
        <f>SUM(L281:L283)</f>
        <v>77179</v>
      </c>
      <c r="M280" s="108">
        <f t="shared" si="170"/>
        <v>1</v>
      </c>
      <c r="N280" s="111">
        <f t="shared" si="170"/>
        <v>15</v>
      </c>
      <c r="O280" s="108">
        <f t="shared" si="170"/>
        <v>2913</v>
      </c>
      <c r="P280" s="112">
        <f t="shared" si="170"/>
        <v>2929</v>
      </c>
      <c r="Q280" s="106"/>
    </row>
    <row r="281" spans="1:17" ht="12.75" customHeight="1">
      <c r="A281" s="113" t="s">
        <v>16</v>
      </c>
      <c r="B281" s="114">
        <v>59286</v>
      </c>
      <c r="C281" s="114"/>
      <c r="D281" s="114">
        <f>+B281+C281</f>
        <v>59286</v>
      </c>
      <c r="E281" s="114">
        <v>34799</v>
      </c>
      <c r="F281" s="114">
        <v>16764</v>
      </c>
      <c r="G281" s="114">
        <v>13652</v>
      </c>
      <c r="H281" s="114">
        <f>SUM(E281:G281)</f>
        <v>65215</v>
      </c>
      <c r="I281" s="43">
        <v>34799</v>
      </c>
      <c r="J281" s="43">
        <v>16749</v>
      </c>
      <c r="K281" s="43">
        <v>10739</v>
      </c>
      <c r="L281" s="78">
        <f>SUM(I281:K281)</f>
        <v>62287</v>
      </c>
      <c r="M281" s="114">
        <f t="shared" ref="M281:O283" si="171">+E281-I281</f>
        <v>0</v>
      </c>
      <c r="N281" s="115">
        <f t="shared" si="171"/>
        <v>15</v>
      </c>
      <c r="O281" s="114">
        <f t="shared" si="171"/>
        <v>2913</v>
      </c>
      <c r="P281" s="116">
        <f>SUM(M281:O281)</f>
        <v>2928</v>
      </c>
      <c r="Q281" s="106"/>
    </row>
    <row r="282" spans="1:17" ht="12.75" customHeight="1">
      <c r="A282" s="113" t="s">
        <v>17</v>
      </c>
      <c r="B282" s="114"/>
      <c r="C282" s="114">
        <f>+H282</f>
        <v>11830</v>
      </c>
      <c r="D282" s="114">
        <f>+B282+C282</f>
        <v>11830</v>
      </c>
      <c r="E282" s="114">
        <v>11830</v>
      </c>
      <c r="F282" s="114"/>
      <c r="G282" s="114"/>
      <c r="H282" s="114">
        <f>SUM(E282:G282)</f>
        <v>11830</v>
      </c>
      <c r="I282" s="43">
        <v>11829</v>
      </c>
      <c r="J282" s="43"/>
      <c r="K282" s="43"/>
      <c r="L282" s="78">
        <f>SUM(I282:K282)</f>
        <v>11829</v>
      </c>
      <c r="M282" s="114">
        <f t="shared" si="171"/>
        <v>1</v>
      </c>
      <c r="N282" s="115">
        <f t="shared" si="171"/>
        <v>0</v>
      </c>
      <c r="O282" s="114">
        <f t="shared" si="171"/>
        <v>0</v>
      </c>
      <c r="P282" s="116">
        <f>SUM(M282:O282)</f>
        <v>1</v>
      </c>
      <c r="Q282" s="106"/>
    </row>
    <row r="283" spans="1:17" ht="12.75" customHeight="1">
      <c r="A283" s="113" t="s">
        <v>18</v>
      </c>
      <c r="B283" s="114">
        <v>3063</v>
      </c>
      <c r="C283" s="114"/>
      <c r="D283" s="114">
        <f>+B283+C283</f>
        <v>3063</v>
      </c>
      <c r="E283" s="114">
        <v>3063</v>
      </c>
      <c r="F283" s="114"/>
      <c r="G283" s="114"/>
      <c r="H283" s="114">
        <f>SUM(E283:G283)</f>
        <v>3063</v>
      </c>
      <c r="I283" s="43">
        <v>3063</v>
      </c>
      <c r="J283" s="43"/>
      <c r="K283" s="43"/>
      <c r="L283" s="78">
        <f>SUM(I283:K283)</f>
        <v>3063</v>
      </c>
      <c r="M283" s="114">
        <f t="shared" si="171"/>
        <v>0</v>
      </c>
      <c r="N283" s="115">
        <f t="shared" si="171"/>
        <v>0</v>
      </c>
      <c r="O283" s="114">
        <f t="shared" si="171"/>
        <v>0</v>
      </c>
      <c r="P283" s="116">
        <f>SUM(M283:O283)</f>
        <v>0</v>
      </c>
      <c r="Q283" s="106"/>
    </row>
    <row r="284" spans="1:17" ht="12.75" customHeight="1">
      <c r="A284" s="113" t="s">
        <v>19</v>
      </c>
      <c r="B284" s="102">
        <f>SUM(B285:B286)</f>
        <v>0</v>
      </c>
      <c r="C284" s="102">
        <f>SUM(C285:C286)</f>
        <v>0</v>
      </c>
      <c r="D284" s="102">
        <f>SUM(D285:D286)</f>
        <v>0</v>
      </c>
      <c r="E284" s="102">
        <f t="shared" ref="E284:P284" si="172">SUM(E285:E286)</f>
        <v>0</v>
      </c>
      <c r="F284" s="102">
        <f t="shared" si="172"/>
        <v>0</v>
      </c>
      <c r="G284" s="102">
        <f t="shared" si="172"/>
        <v>0</v>
      </c>
      <c r="H284" s="102">
        <f t="shared" si="172"/>
        <v>0</v>
      </c>
      <c r="I284" s="45">
        <f>SUM(I285:I286)</f>
        <v>0</v>
      </c>
      <c r="J284" s="45">
        <f>SUM(J285:J286)</f>
        <v>0</v>
      </c>
      <c r="K284" s="45">
        <f>SUM(K285:K286)</f>
        <v>0</v>
      </c>
      <c r="L284" s="103">
        <f>SUM(L285:L286)</f>
        <v>0</v>
      </c>
      <c r="M284" s="102">
        <f t="shared" si="172"/>
        <v>0</v>
      </c>
      <c r="N284" s="104">
        <f t="shared" si="172"/>
        <v>0</v>
      </c>
      <c r="O284" s="102">
        <f t="shared" si="172"/>
        <v>0</v>
      </c>
      <c r="P284" s="105">
        <f t="shared" si="172"/>
        <v>0</v>
      </c>
      <c r="Q284" s="106"/>
    </row>
    <row r="285" spans="1:17" ht="12.75" customHeight="1">
      <c r="A285" s="113" t="s">
        <v>20</v>
      </c>
      <c r="B285" s="114"/>
      <c r="C285" s="114">
        <f>+H285</f>
        <v>0</v>
      </c>
      <c r="D285" s="114">
        <f>+B285+C285</f>
        <v>0</v>
      </c>
      <c r="E285" s="114"/>
      <c r="F285" s="114"/>
      <c r="G285" s="114"/>
      <c r="H285" s="114">
        <f>SUM(E285:G285)</f>
        <v>0</v>
      </c>
      <c r="I285" s="43"/>
      <c r="J285" s="43"/>
      <c r="K285" s="43"/>
      <c r="L285" s="78">
        <f>SUM(I285:K285)</f>
        <v>0</v>
      </c>
      <c r="M285" s="114">
        <f t="shared" ref="M285:O286" si="173">+E285-I285</f>
        <v>0</v>
      </c>
      <c r="N285" s="115">
        <f t="shared" si="173"/>
        <v>0</v>
      </c>
      <c r="O285" s="114">
        <f t="shared" si="173"/>
        <v>0</v>
      </c>
      <c r="P285" s="116">
        <f>SUM(M285:O285)</f>
        <v>0</v>
      </c>
      <c r="Q285" s="106"/>
    </row>
    <row r="286" spans="1:17" ht="12.75" customHeight="1">
      <c r="A286" s="113" t="s">
        <v>21</v>
      </c>
      <c r="B286" s="114"/>
      <c r="C286" s="114"/>
      <c r="D286" s="114">
        <f>+B286+C286</f>
        <v>0</v>
      </c>
      <c r="E286" s="114"/>
      <c r="F286" s="114"/>
      <c r="G286" s="114"/>
      <c r="H286" s="114">
        <f>SUM(E286:G286)</f>
        <v>0</v>
      </c>
      <c r="I286" s="43"/>
      <c r="J286" s="43"/>
      <c r="K286" s="43"/>
      <c r="L286" s="78">
        <f>SUM(I286:K286)</f>
        <v>0</v>
      </c>
      <c r="M286" s="114">
        <f t="shared" si="173"/>
        <v>0</v>
      </c>
      <c r="N286" s="115">
        <f t="shared" si="173"/>
        <v>0</v>
      </c>
      <c r="O286" s="114">
        <f t="shared" si="173"/>
        <v>0</v>
      </c>
      <c r="P286" s="116">
        <f>SUM(M286:O286)</f>
        <v>0</v>
      </c>
      <c r="Q286" s="106"/>
    </row>
    <row r="287" spans="1:17" ht="12.75" customHeight="1">
      <c r="A287" s="121"/>
      <c r="B287" s="122"/>
      <c r="C287" s="122"/>
      <c r="D287" s="122"/>
      <c r="E287" s="114"/>
      <c r="F287" s="114"/>
      <c r="G287" s="114"/>
      <c r="H287" s="114"/>
      <c r="I287" s="43"/>
      <c r="J287" s="43"/>
      <c r="K287" s="43"/>
      <c r="L287" s="78"/>
      <c r="M287" s="114"/>
      <c r="N287" s="115"/>
      <c r="O287" s="114"/>
      <c r="P287" s="116"/>
      <c r="Q287" s="106"/>
    </row>
    <row r="288" spans="1:17" ht="12.75" customHeight="1">
      <c r="A288" s="120" t="s">
        <v>252</v>
      </c>
      <c r="B288" s="102">
        <f>+B289+B293</f>
        <v>224615</v>
      </c>
      <c r="C288" s="102">
        <f>+C289+C293</f>
        <v>58458</v>
      </c>
      <c r="D288" s="102">
        <f>+D289+D293</f>
        <v>283073</v>
      </c>
      <c r="E288" s="102">
        <f t="shared" ref="E288:P288" si="174">+E289+E293</f>
        <v>183463</v>
      </c>
      <c r="F288" s="102">
        <f t="shared" si="174"/>
        <v>70492</v>
      </c>
      <c r="G288" s="102">
        <f t="shared" si="174"/>
        <v>29468</v>
      </c>
      <c r="H288" s="102">
        <f t="shared" si="174"/>
        <v>283423</v>
      </c>
      <c r="I288" s="45">
        <f t="shared" si="174"/>
        <v>183463</v>
      </c>
      <c r="J288" s="45">
        <f t="shared" si="174"/>
        <v>70492</v>
      </c>
      <c r="K288" s="45">
        <f t="shared" si="174"/>
        <v>29468</v>
      </c>
      <c r="L288" s="103">
        <f t="shared" si="174"/>
        <v>283423</v>
      </c>
      <c r="M288" s="102">
        <f t="shared" si="174"/>
        <v>0</v>
      </c>
      <c r="N288" s="104">
        <f t="shared" si="174"/>
        <v>0</v>
      </c>
      <c r="O288" s="102">
        <f t="shared" si="174"/>
        <v>0</v>
      </c>
      <c r="P288" s="105">
        <f t="shared" si="174"/>
        <v>0</v>
      </c>
      <c r="Q288" s="106">
        <f>+L288/H288</f>
        <v>1</v>
      </c>
    </row>
    <row r="289" spans="1:17" ht="12.75" customHeight="1">
      <c r="A289" s="127" t="s">
        <v>15</v>
      </c>
      <c r="B289" s="108">
        <f>SUM(B290:B292)</f>
        <v>224615</v>
      </c>
      <c r="C289" s="108">
        <f>SUM(C290:C292)</f>
        <v>58458</v>
      </c>
      <c r="D289" s="108">
        <f>SUM(D290:D292)</f>
        <v>283073</v>
      </c>
      <c r="E289" s="108">
        <f t="shared" ref="E289:P289" si="175">SUM(E290:E292)</f>
        <v>183463</v>
      </c>
      <c r="F289" s="108">
        <f t="shared" si="175"/>
        <v>70492</v>
      </c>
      <c r="G289" s="108">
        <f t="shared" si="175"/>
        <v>29468</v>
      </c>
      <c r="H289" s="108">
        <f t="shared" si="175"/>
        <v>283423</v>
      </c>
      <c r="I289" s="109">
        <f>SUM(I290:I292)</f>
        <v>183463</v>
      </c>
      <c r="J289" s="109">
        <f>SUM(J290:J292)</f>
        <v>70492</v>
      </c>
      <c r="K289" s="109">
        <f>SUM(K290:K292)</f>
        <v>29468</v>
      </c>
      <c r="L289" s="110">
        <f>SUM(L290:L292)</f>
        <v>283423</v>
      </c>
      <c r="M289" s="108">
        <f t="shared" si="175"/>
        <v>0</v>
      </c>
      <c r="N289" s="111">
        <f t="shared" si="175"/>
        <v>0</v>
      </c>
      <c r="O289" s="108">
        <f t="shared" si="175"/>
        <v>0</v>
      </c>
      <c r="P289" s="112">
        <f t="shared" si="175"/>
        <v>0</v>
      </c>
      <c r="Q289" s="106"/>
    </row>
    <row r="290" spans="1:17" ht="12.75" customHeight="1">
      <c r="A290" s="113" t="s">
        <v>16</v>
      </c>
      <c r="B290" s="114">
        <v>211321</v>
      </c>
      <c r="C290" s="114">
        <v>29468</v>
      </c>
      <c r="D290" s="114">
        <f>+B290+C290</f>
        <v>240789</v>
      </c>
      <c r="E290" s="114">
        <v>140829</v>
      </c>
      <c r="F290" s="114">
        <v>70492</v>
      </c>
      <c r="G290" s="114">
        <v>29468</v>
      </c>
      <c r="H290" s="114">
        <f>SUM(E290:G290)</f>
        <v>240789</v>
      </c>
      <c r="I290" s="43">
        <v>140829</v>
      </c>
      <c r="J290" s="43">
        <v>70492</v>
      </c>
      <c r="K290" s="43">
        <v>29468</v>
      </c>
      <c r="L290" s="78">
        <f>SUM(I290:K290)</f>
        <v>240789</v>
      </c>
      <c r="M290" s="114">
        <f t="shared" ref="M290:O292" si="176">+E290-I290</f>
        <v>0</v>
      </c>
      <c r="N290" s="115">
        <f t="shared" si="176"/>
        <v>0</v>
      </c>
      <c r="O290" s="114">
        <f t="shared" si="176"/>
        <v>0</v>
      </c>
      <c r="P290" s="116">
        <f>SUM(M290:O290)</f>
        <v>0</v>
      </c>
      <c r="Q290" s="106"/>
    </row>
    <row r="291" spans="1:17" ht="12.75" customHeight="1">
      <c r="A291" s="113" t="s">
        <v>17</v>
      </c>
      <c r="B291" s="114"/>
      <c r="C291" s="114">
        <f>+H291</f>
        <v>28990</v>
      </c>
      <c r="D291" s="114">
        <f>+B291+C291</f>
        <v>28990</v>
      </c>
      <c r="E291" s="114">
        <v>28990</v>
      </c>
      <c r="F291" s="114"/>
      <c r="G291" s="114"/>
      <c r="H291" s="114">
        <f>SUM(E291:G291)</f>
        <v>28990</v>
      </c>
      <c r="I291" s="43">
        <v>28990</v>
      </c>
      <c r="J291" s="43"/>
      <c r="K291" s="43"/>
      <c r="L291" s="78">
        <f>SUM(I291:K291)</f>
        <v>28990</v>
      </c>
      <c r="M291" s="114">
        <f t="shared" si="176"/>
        <v>0</v>
      </c>
      <c r="N291" s="115">
        <f t="shared" si="176"/>
        <v>0</v>
      </c>
      <c r="O291" s="114">
        <f t="shared" si="176"/>
        <v>0</v>
      </c>
      <c r="P291" s="116">
        <f>SUM(M291:O291)</f>
        <v>0</v>
      </c>
      <c r="Q291" s="106"/>
    </row>
    <row r="292" spans="1:17" ht="12.75" customHeight="1">
      <c r="A292" s="113" t="s">
        <v>18</v>
      </c>
      <c r="B292" s="114">
        <v>13294</v>
      </c>
      <c r="C292" s="114"/>
      <c r="D292" s="114">
        <f>+B292+C292</f>
        <v>13294</v>
      </c>
      <c r="E292" s="114">
        <v>13644</v>
      </c>
      <c r="F292" s="114"/>
      <c r="G292" s="114"/>
      <c r="H292" s="114">
        <f>SUM(E292:G292)</f>
        <v>13644</v>
      </c>
      <c r="I292" s="43">
        <v>13644</v>
      </c>
      <c r="J292" s="43"/>
      <c r="K292" s="43"/>
      <c r="L292" s="78">
        <f>SUM(I292:K292)</f>
        <v>13644</v>
      </c>
      <c r="M292" s="114">
        <f t="shared" si="176"/>
        <v>0</v>
      </c>
      <c r="N292" s="115">
        <f t="shared" si="176"/>
        <v>0</v>
      </c>
      <c r="O292" s="114">
        <f t="shared" si="176"/>
        <v>0</v>
      </c>
      <c r="P292" s="116">
        <f>SUM(M292:O292)</f>
        <v>0</v>
      </c>
      <c r="Q292" s="106"/>
    </row>
    <row r="293" spans="1:17" ht="12.75" customHeight="1">
      <c r="A293" s="113" t="s">
        <v>19</v>
      </c>
      <c r="B293" s="102">
        <f>SUM(B294:B295)</f>
        <v>0</v>
      </c>
      <c r="C293" s="102">
        <f>SUM(C294:C295)</f>
        <v>0</v>
      </c>
      <c r="D293" s="102">
        <f>SUM(D294:D295)</f>
        <v>0</v>
      </c>
      <c r="E293" s="102">
        <f t="shared" ref="E293:P293" si="177">SUM(E294:E295)</f>
        <v>0</v>
      </c>
      <c r="F293" s="102">
        <f t="shared" si="177"/>
        <v>0</v>
      </c>
      <c r="G293" s="102">
        <f t="shared" si="177"/>
        <v>0</v>
      </c>
      <c r="H293" s="102">
        <f t="shared" si="177"/>
        <v>0</v>
      </c>
      <c r="I293" s="45">
        <f>SUM(I294:I295)</f>
        <v>0</v>
      </c>
      <c r="J293" s="45">
        <f>SUM(J294:J295)</f>
        <v>0</v>
      </c>
      <c r="K293" s="45">
        <f>SUM(K294:K295)</f>
        <v>0</v>
      </c>
      <c r="L293" s="103">
        <f>SUM(L294:L295)</f>
        <v>0</v>
      </c>
      <c r="M293" s="102">
        <f t="shared" si="177"/>
        <v>0</v>
      </c>
      <c r="N293" s="104">
        <f t="shared" si="177"/>
        <v>0</v>
      </c>
      <c r="O293" s="102">
        <f t="shared" si="177"/>
        <v>0</v>
      </c>
      <c r="P293" s="105">
        <f t="shared" si="177"/>
        <v>0</v>
      </c>
      <c r="Q293" s="106"/>
    </row>
    <row r="294" spans="1:17" ht="12.75" customHeight="1">
      <c r="A294" s="113" t="s">
        <v>20</v>
      </c>
      <c r="B294" s="114"/>
      <c r="C294" s="114"/>
      <c r="D294" s="114">
        <f>+B294+C294</f>
        <v>0</v>
      </c>
      <c r="E294" s="114"/>
      <c r="F294" s="114"/>
      <c r="G294" s="114"/>
      <c r="H294" s="114">
        <f>SUM(E294:G294)</f>
        <v>0</v>
      </c>
      <c r="I294" s="43"/>
      <c r="J294" s="43"/>
      <c r="K294" s="43"/>
      <c r="L294" s="78">
        <f>SUM(I294:K294)</f>
        <v>0</v>
      </c>
      <c r="M294" s="114">
        <f t="shared" ref="M294:O295" si="178">+E294-I294</f>
        <v>0</v>
      </c>
      <c r="N294" s="115">
        <f t="shared" si="178"/>
        <v>0</v>
      </c>
      <c r="O294" s="114">
        <f t="shared" si="178"/>
        <v>0</v>
      </c>
      <c r="P294" s="116">
        <f>SUM(M294:O294)</f>
        <v>0</v>
      </c>
      <c r="Q294" s="106"/>
    </row>
    <row r="295" spans="1:17" ht="12.75" customHeight="1">
      <c r="A295" s="113" t="s">
        <v>21</v>
      </c>
      <c r="B295" s="114"/>
      <c r="C295" s="114">
        <f>+H295</f>
        <v>0</v>
      </c>
      <c r="D295" s="114">
        <f>+B295+C295</f>
        <v>0</v>
      </c>
      <c r="E295" s="114"/>
      <c r="F295" s="114"/>
      <c r="G295" s="114"/>
      <c r="H295" s="114">
        <f>SUM(E295:G295)</f>
        <v>0</v>
      </c>
      <c r="I295" s="43"/>
      <c r="J295" s="43"/>
      <c r="K295" s="43"/>
      <c r="L295" s="78">
        <f>SUM(I295:K295)</f>
        <v>0</v>
      </c>
      <c r="M295" s="114">
        <f t="shared" si="178"/>
        <v>0</v>
      </c>
      <c r="N295" s="115">
        <f t="shared" si="178"/>
        <v>0</v>
      </c>
      <c r="O295" s="114">
        <f t="shared" si="178"/>
        <v>0</v>
      </c>
      <c r="P295" s="116">
        <f>SUM(M295:O295)</f>
        <v>0</v>
      </c>
      <c r="Q295" s="106"/>
    </row>
    <row r="296" spans="1:17" ht="12.75" customHeight="1">
      <c r="A296" s="121"/>
      <c r="B296" s="122"/>
      <c r="C296" s="122"/>
      <c r="D296" s="122"/>
      <c r="E296" s="114"/>
      <c r="F296" s="114"/>
      <c r="G296" s="114"/>
      <c r="H296" s="114"/>
      <c r="I296" s="43"/>
      <c r="J296" s="43"/>
      <c r="K296" s="43"/>
      <c r="L296" s="78"/>
      <c r="M296" s="114"/>
      <c r="N296" s="115"/>
      <c r="O296" s="114"/>
      <c r="P296" s="116"/>
      <c r="Q296" s="106"/>
    </row>
    <row r="297" spans="1:17" ht="12.75" customHeight="1">
      <c r="A297" s="120" t="s">
        <v>253</v>
      </c>
      <c r="B297" s="102">
        <f>+B298+B302</f>
        <v>77322</v>
      </c>
      <c r="C297" s="102">
        <f>+C298+C302</f>
        <v>19343</v>
      </c>
      <c r="D297" s="102">
        <f>+D298+D302</f>
        <v>96665</v>
      </c>
      <c r="E297" s="102">
        <f t="shared" ref="E297:P297" si="179">+E298+E302</f>
        <v>72417</v>
      </c>
      <c r="F297" s="102">
        <f t="shared" si="179"/>
        <v>17254</v>
      </c>
      <c r="G297" s="102">
        <f t="shared" si="179"/>
        <v>12337</v>
      </c>
      <c r="H297" s="102">
        <f t="shared" si="179"/>
        <v>102008</v>
      </c>
      <c r="I297" s="45">
        <f t="shared" si="179"/>
        <v>72366</v>
      </c>
      <c r="J297" s="45">
        <f t="shared" si="179"/>
        <v>15438</v>
      </c>
      <c r="K297" s="45">
        <f t="shared" si="179"/>
        <v>5343</v>
      </c>
      <c r="L297" s="103">
        <f t="shared" si="179"/>
        <v>93147</v>
      </c>
      <c r="M297" s="102">
        <f t="shared" si="179"/>
        <v>51</v>
      </c>
      <c r="N297" s="104">
        <f t="shared" si="179"/>
        <v>1816</v>
      </c>
      <c r="O297" s="102">
        <f t="shared" si="179"/>
        <v>6994</v>
      </c>
      <c r="P297" s="105">
        <f t="shared" si="179"/>
        <v>8861</v>
      </c>
      <c r="Q297" s="106">
        <f>+L297/H297</f>
        <v>0.91313426397929576</v>
      </c>
    </row>
    <row r="298" spans="1:17" ht="12.75" customHeight="1">
      <c r="A298" s="127" t="s">
        <v>15</v>
      </c>
      <c r="B298" s="108">
        <f>SUM(B299:B301)</f>
        <v>77322</v>
      </c>
      <c r="C298" s="108">
        <f>SUM(C299:C301)</f>
        <v>19343</v>
      </c>
      <c r="D298" s="108">
        <f>SUM(D299:D301)</f>
        <v>96665</v>
      </c>
      <c r="E298" s="108">
        <f t="shared" ref="E298:P298" si="180">SUM(E299:E301)</f>
        <v>72417</v>
      </c>
      <c r="F298" s="108">
        <f t="shared" si="180"/>
        <v>17254</v>
      </c>
      <c r="G298" s="108">
        <f t="shared" si="180"/>
        <v>12337</v>
      </c>
      <c r="H298" s="108">
        <f t="shared" si="180"/>
        <v>102008</v>
      </c>
      <c r="I298" s="109">
        <f>SUM(I299:I301)</f>
        <v>72366</v>
      </c>
      <c r="J298" s="109">
        <f>SUM(J299:J301)</f>
        <v>15438</v>
      </c>
      <c r="K298" s="109">
        <f>SUM(K299:K301)</f>
        <v>5343</v>
      </c>
      <c r="L298" s="110">
        <f>SUM(L299:L301)</f>
        <v>93147</v>
      </c>
      <c r="M298" s="108">
        <f t="shared" si="180"/>
        <v>51</v>
      </c>
      <c r="N298" s="111">
        <f t="shared" si="180"/>
        <v>1816</v>
      </c>
      <c r="O298" s="108">
        <f t="shared" si="180"/>
        <v>6994</v>
      </c>
      <c r="P298" s="112">
        <f t="shared" si="180"/>
        <v>8861</v>
      </c>
      <c r="Q298" s="106"/>
    </row>
    <row r="299" spans="1:17" ht="12.75" customHeight="1">
      <c r="A299" s="113" t="s">
        <v>16</v>
      </c>
      <c r="B299" s="114">
        <v>72641</v>
      </c>
      <c r="C299" s="114"/>
      <c r="D299" s="114">
        <f>+B299+C299</f>
        <v>72641</v>
      </c>
      <c r="E299" s="114">
        <v>48393</v>
      </c>
      <c r="F299" s="114">
        <v>17254</v>
      </c>
      <c r="G299" s="114">
        <v>12337</v>
      </c>
      <c r="H299" s="114">
        <f>SUM(E299:G299)</f>
        <v>77984</v>
      </c>
      <c r="I299" s="43">
        <v>48391</v>
      </c>
      <c r="J299" s="43">
        <v>15438</v>
      </c>
      <c r="K299" s="43">
        <v>5343</v>
      </c>
      <c r="L299" s="78">
        <f>SUM(I299:K299)</f>
        <v>69172</v>
      </c>
      <c r="M299" s="114">
        <f t="shared" ref="M299:O301" si="181">+E299-I299</f>
        <v>2</v>
      </c>
      <c r="N299" s="115">
        <f t="shared" si="181"/>
        <v>1816</v>
      </c>
      <c r="O299" s="114">
        <f t="shared" si="181"/>
        <v>6994</v>
      </c>
      <c r="P299" s="116">
        <f>SUM(M299:O299)</f>
        <v>8812</v>
      </c>
      <c r="Q299" s="106"/>
    </row>
    <row r="300" spans="1:17" ht="12.75" customHeight="1">
      <c r="A300" s="113" t="s">
        <v>17</v>
      </c>
      <c r="B300" s="114"/>
      <c r="C300" s="114">
        <f>+H300</f>
        <v>19343</v>
      </c>
      <c r="D300" s="114">
        <f>+B300+C300</f>
        <v>19343</v>
      </c>
      <c r="E300" s="114">
        <v>19343</v>
      </c>
      <c r="F300" s="114"/>
      <c r="G300" s="114"/>
      <c r="H300" s="114">
        <f>SUM(E300:G300)</f>
        <v>19343</v>
      </c>
      <c r="I300" s="43">
        <v>19340</v>
      </c>
      <c r="J300" s="43"/>
      <c r="K300" s="43"/>
      <c r="L300" s="78">
        <f>SUM(I300:K300)</f>
        <v>19340</v>
      </c>
      <c r="M300" s="114">
        <f t="shared" si="181"/>
        <v>3</v>
      </c>
      <c r="N300" s="115">
        <f t="shared" si="181"/>
        <v>0</v>
      </c>
      <c r="O300" s="114">
        <f t="shared" si="181"/>
        <v>0</v>
      </c>
      <c r="P300" s="116">
        <f>SUM(M300:O300)</f>
        <v>3</v>
      </c>
      <c r="Q300" s="106"/>
    </row>
    <row r="301" spans="1:17" ht="12.75" customHeight="1">
      <c r="A301" s="113" t="s">
        <v>18</v>
      </c>
      <c r="B301" s="114">
        <v>4681</v>
      </c>
      <c r="C301" s="114"/>
      <c r="D301" s="114">
        <f>+B301+C301</f>
        <v>4681</v>
      </c>
      <c r="E301" s="114">
        <v>4681</v>
      </c>
      <c r="F301" s="114"/>
      <c r="G301" s="114"/>
      <c r="H301" s="114">
        <f>SUM(E301:G301)</f>
        <v>4681</v>
      </c>
      <c r="I301" s="43">
        <v>4635</v>
      </c>
      <c r="J301" s="43"/>
      <c r="K301" s="43"/>
      <c r="L301" s="78">
        <f>SUM(I301:K301)</f>
        <v>4635</v>
      </c>
      <c r="M301" s="114">
        <f t="shared" si="181"/>
        <v>46</v>
      </c>
      <c r="N301" s="115">
        <f t="shared" si="181"/>
        <v>0</v>
      </c>
      <c r="O301" s="114">
        <f t="shared" si="181"/>
        <v>0</v>
      </c>
      <c r="P301" s="116">
        <f>SUM(M301:O301)</f>
        <v>46</v>
      </c>
      <c r="Q301" s="106"/>
    </row>
    <row r="302" spans="1:17" ht="12.75" customHeight="1">
      <c r="A302" s="113" t="s">
        <v>19</v>
      </c>
      <c r="B302" s="102">
        <f>SUM(B303:B304)</f>
        <v>0</v>
      </c>
      <c r="C302" s="102">
        <f>SUM(C303:C304)</f>
        <v>0</v>
      </c>
      <c r="D302" s="102">
        <f>SUM(D303:D304)</f>
        <v>0</v>
      </c>
      <c r="E302" s="102">
        <f t="shared" ref="E302:P302" si="182">SUM(E303:E304)</f>
        <v>0</v>
      </c>
      <c r="F302" s="102">
        <f t="shared" si="182"/>
        <v>0</v>
      </c>
      <c r="G302" s="102">
        <f t="shared" si="182"/>
        <v>0</v>
      </c>
      <c r="H302" s="102">
        <f t="shared" si="182"/>
        <v>0</v>
      </c>
      <c r="I302" s="45">
        <f>SUM(I303:I304)</f>
        <v>0</v>
      </c>
      <c r="J302" s="45">
        <f>SUM(J303:J304)</f>
        <v>0</v>
      </c>
      <c r="K302" s="45">
        <f>SUM(K303:K304)</f>
        <v>0</v>
      </c>
      <c r="L302" s="103">
        <f>SUM(L303:L304)</f>
        <v>0</v>
      </c>
      <c r="M302" s="102">
        <f t="shared" si="182"/>
        <v>0</v>
      </c>
      <c r="N302" s="104">
        <f t="shared" si="182"/>
        <v>0</v>
      </c>
      <c r="O302" s="102">
        <f t="shared" si="182"/>
        <v>0</v>
      </c>
      <c r="P302" s="105">
        <f t="shared" si="182"/>
        <v>0</v>
      </c>
      <c r="Q302" s="106"/>
    </row>
    <row r="303" spans="1:17" ht="12.75" customHeight="1">
      <c r="A303" s="113" t="s">
        <v>20</v>
      </c>
      <c r="B303" s="114"/>
      <c r="C303" s="114"/>
      <c r="D303" s="114">
        <f>+B303+C303</f>
        <v>0</v>
      </c>
      <c r="E303" s="114"/>
      <c r="F303" s="114"/>
      <c r="G303" s="114"/>
      <c r="H303" s="114">
        <f>SUM(E303:G303)</f>
        <v>0</v>
      </c>
      <c r="I303" s="43"/>
      <c r="J303" s="43"/>
      <c r="K303" s="43"/>
      <c r="L303" s="78">
        <f>SUM(I303:K303)</f>
        <v>0</v>
      </c>
      <c r="M303" s="114">
        <f t="shared" ref="M303:O304" si="183">+E303-I303</f>
        <v>0</v>
      </c>
      <c r="N303" s="115">
        <f t="shared" si="183"/>
        <v>0</v>
      </c>
      <c r="O303" s="114">
        <f t="shared" si="183"/>
        <v>0</v>
      </c>
      <c r="P303" s="116">
        <f>SUM(M303:O303)</f>
        <v>0</v>
      </c>
      <c r="Q303" s="106"/>
    </row>
    <row r="304" spans="1:17" ht="12.75" customHeight="1">
      <c r="A304" s="113" t="s">
        <v>21</v>
      </c>
      <c r="B304" s="114"/>
      <c r="C304" s="114">
        <f>+H304</f>
        <v>0</v>
      </c>
      <c r="D304" s="114">
        <f>+B304+C304</f>
        <v>0</v>
      </c>
      <c r="E304" s="114"/>
      <c r="F304" s="114"/>
      <c r="G304" s="114"/>
      <c r="H304" s="114">
        <f>SUM(E304:G304)</f>
        <v>0</v>
      </c>
      <c r="I304" s="43"/>
      <c r="J304" s="43"/>
      <c r="K304" s="43"/>
      <c r="L304" s="78">
        <f>SUM(I304:K304)</f>
        <v>0</v>
      </c>
      <c r="M304" s="114">
        <f t="shared" si="183"/>
        <v>0</v>
      </c>
      <c r="N304" s="115">
        <f t="shared" si="183"/>
        <v>0</v>
      </c>
      <c r="O304" s="114">
        <f t="shared" si="183"/>
        <v>0</v>
      </c>
      <c r="P304" s="116">
        <f>SUM(M304:O304)</f>
        <v>0</v>
      </c>
      <c r="Q304" s="106"/>
    </row>
    <row r="305" spans="1:17" ht="12.75" customHeight="1">
      <c r="A305" s="121"/>
      <c r="B305" s="122"/>
      <c r="C305" s="122"/>
      <c r="D305" s="122"/>
      <c r="E305" s="114"/>
      <c r="F305" s="114"/>
      <c r="G305" s="114"/>
      <c r="H305" s="114"/>
      <c r="I305" s="43"/>
      <c r="J305" s="43"/>
      <c r="K305" s="43"/>
      <c r="L305" s="78"/>
      <c r="M305" s="114"/>
      <c r="N305" s="115"/>
      <c r="O305" s="114"/>
      <c r="P305" s="116"/>
      <c r="Q305" s="106"/>
    </row>
    <row r="306" spans="1:17" ht="12.75" customHeight="1">
      <c r="A306" s="120" t="s">
        <v>254</v>
      </c>
      <c r="B306" s="102">
        <f>+B307+B311</f>
        <v>342377</v>
      </c>
      <c r="C306" s="102">
        <f>+C307+C311</f>
        <v>26240</v>
      </c>
      <c r="D306" s="102">
        <f>+D307+D311</f>
        <v>368617</v>
      </c>
      <c r="E306" s="102">
        <f t="shared" ref="E306:P306" si="184">+E307+E311</f>
        <v>256685</v>
      </c>
      <c r="F306" s="102">
        <f t="shared" si="184"/>
        <v>115880</v>
      </c>
      <c r="G306" s="102">
        <f t="shared" si="184"/>
        <v>44751</v>
      </c>
      <c r="H306" s="102">
        <f t="shared" si="184"/>
        <v>417316</v>
      </c>
      <c r="I306" s="45">
        <f t="shared" si="184"/>
        <v>253159</v>
      </c>
      <c r="J306" s="45">
        <f t="shared" si="184"/>
        <v>104709</v>
      </c>
      <c r="K306" s="45">
        <f t="shared" si="184"/>
        <v>912</v>
      </c>
      <c r="L306" s="103">
        <f t="shared" si="184"/>
        <v>358780</v>
      </c>
      <c r="M306" s="102">
        <f t="shared" si="184"/>
        <v>3526</v>
      </c>
      <c r="N306" s="104">
        <f t="shared" si="184"/>
        <v>11171</v>
      </c>
      <c r="O306" s="102">
        <f t="shared" si="184"/>
        <v>43839</v>
      </c>
      <c r="P306" s="105">
        <f t="shared" si="184"/>
        <v>58536</v>
      </c>
      <c r="Q306" s="106">
        <f>+L306/H306</f>
        <v>0.85973219334988349</v>
      </c>
    </row>
    <row r="307" spans="1:17" ht="12.75" customHeight="1">
      <c r="A307" s="127" t="s">
        <v>15</v>
      </c>
      <c r="B307" s="108">
        <f>SUM(B308:B310)</f>
        <v>342377</v>
      </c>
      <c r="C307" s="108">
        <f>SUM(C308:C310)</f>
        <v>26240</v>
      </c>
      <c r="D307" s="108">
        <f>SUM(D308:D310)</f>
        <v>368617</v>
      </c>
      <c r="E307" s="108">
        <f t="shared" ref="E307:P307" si="185">SUM(E308:E310)</f>
        <v>256685</v>
      </c>
      <c r="F307" s="108">
        <f t="shared" si="185"/>
        <v>112022</v>
      </c>
      <c r="G307" s="108">
        <f t="shared" si="185"/>
        <v>43839</v>
      </c>
      <c r="H307" s="108">
        <f t="shared" si="185"/>
        <v>412546</v>
      </c>
      <c r="I307" s="109">
        <f>SUM(I308:I310)</f>
        <v>253159</v>
      </c>
      <c r="J307" s="109">
        <f>SUM(J308:J310)</f>
        <v>101263</v>
      </c>
      <c r="K307" s="109">
        <f>SUM(K308:K310)</f>
        <v>0</v>
      </c>
      <c r="L307" s="110">
        <f>SUM(L308:L310)</f>
        <v>354422</v>
      </c>
      <c r="M307" s="108">
        <f t="shared" si="185"/>
        <v>3526</v>
      </c>
      <c r="N307" s="111">
        <f t="shared" si="185"/>
        <v>10759</v>
      </c>
      <c r="O307" s="108">
        <f t="shared" si="185"/>
        <v>43839</v>
      </c>
      <c r="P307" s="112">
        <f t="shared" si="185"/>
        <v>58124</v>
      </c>
      <c r="Q307" s="106"/>
    </row>
    <row r="308" spans="1:17" ht="12.75" customHeight="1">
      <c r="A308" s="113" t="s">
        <v>16</v>
      </c>
      <c r="B308" s="114">
        <v>322976</v>
      </c>
      <c r="C308" s="114"/>
      <c r="D308" s="114">
        <f>+B308+C308</f>
        <v>322976</v>
      </c>
      <c r="E308" s="114">
        <v>210954</v>
      </c>
      <c r="F308" s="114">
        <v>112022</v>
      </c>
      <c r="G308" s="114">
        <v>43839</v>
      </c>
      <c r="H308" s="114">
        <f>SUM(E308:G308)</f>
        <v>366815</v>
      </c>
      <c r="I308" s="43">
        <v>210310</v>
      </c>
      <c r="J308" s="43">
        <v>101263</v>
      </c>
      <c r="K308" s="43"/>
      <c r="L308" s="78">
        <f>SUM(I308:K308)</f>
        <v>311573</v>
      </c>
      <c r="M308" s="114">
        <f t="shared" ref="M308:O310" si="186">+E308-I308</f>
        <v>644</v>
      </c>
      <c r="N308" s="115">
        <f t="shared" si="186"/>
        <v>10759</v>
      </c>
      <c r="O308" s="114">
        <f t="shared" si="186"/>
        <v>43839</v>
      </c>
      <c r="P308" s="116">
        <f>SUM(M308:O308)</f>
        <v>55242</v>
      </c>
      <c r="Q308" s="106"/>
    </row>
    <row r="309" spans="1:17" ht="12.75" customHeight="1">
      <c r="A309" s="113" t="s">
        <v>17</v>
      </c>
      <c r="B309" s="114"/>
      <c r="C309" s="114">
        <f>+H309</f>
        <v>26240</v>
      </c>
      <c r="D309" s="114">
        <f>+B309+C309</f>
        <v>26240</v>
      </c>
      <c r="E309" s="114">
        <v>26240</v>
      </c>
      <c r="F309" s="114"/>
      <c r="G309" s="114"/>
      <c r="H309" s="114">
        <f>SUM(E309:G309)</f>
        <v>26240</v>
      </c>
      <c r="I309" s="43">
        <v>26156</v>
      </c>
      <c r="J309" s="43"/>
      <c r="K309" s="43"/>
      <c r="L309" s="78">
        <f>SUM(I309:K309)</f>
        <v>26156</v>
      </c>
      <c r="M309" s="114">
        <f t="shared" si="186"/>
        <v>84</v>
      </c>
      <c r="N309" s="115">
        <f t="shared" si="186"/>
        <v>0</v>
      </c>
      <c r="O309" s="114">
        <f t="shared" si="186"/>
        <v>0</v>
      </c>
      <c r="P309" s="116">
        <f>SUM(M309:O309)</f>
        <v>84</v>
      </c>
      <c r="Q309" s="106"/>
    </row>
    <row r="310" spans="1:17" ht="12.75" customHeight="1">
      <c r="A310" s="113" t="s">
        <v>18</v>
      </c>
      <c r="B310" s="114">
        <v>19401</v>
      </c>
      <c r="C310" s="114"/>
      <c r="D310" s="114">
        <f>+B310+C310</f>
        <v>19401</v>
      </c>
      <c r="E310" s="114">
        <v>19491</v>
      </c>
      <c r="F310" s="114"/>
      <c r="G310" s="114"/>
      <c r="H310" s="114">
        <f>SUM(E310:G310)</f>
        <v>19491</v>
      </c>
      <c r="I310" s="43">
        <v>16693</v>
      </c>
      <c r="J310" s="43"/>
      <c r="K310" s="43"/>
      <c r="L310" s="78">
        <f>SUM(I310:K310)</f>
        <v>16693</v>
      </c>
      <c r="M310" s="114">
        <f t="shared" si="186"/>
        <v>2798</v>
      </c>
      <c r="N310" s="115">
        <f t="shared" si="186"/>
        <v>0</v>
      </c>
      <c r="O310" s="114">
        <f t="shared" si="186"/>
        <v>0</v>
      </c>
      <c r="P310" s="116">
        <f>SUM(M310:O310)</f>
        <v>2798</v>
      </c>
      <c r="Q310" s="106"/>
    </row>
    <row r="311" spans="1:17" ht="12.75" customHeight="1">
      <c r="A311" s="113" t="s">
        <v>19</v>
      </c>
      <c r="B311" s="102">
        <f>SUM(B312:B313)</f>
        <v>0</v>
      </c>
      <c r="C311" s="102">
        <f>SUM(C312:C313)</f>
        <v>0</v>
      </c>
      <c r="D311" s="102">
        <f>SUM(D312:D313)</f>
        <v>0</v>
      </c>
      <c r="E311" s="102">
        <f t="shared" ref="E311:P311" si="187">SUM(E312:E313)</f>
        <v>0</v>
      </c>
      <c r="F311" s="102">
        <f t="shared" si="187"/>
        <v>3858</v>
      </c>
      <c r="G311" s="102">
        <f t="shared" si="187"/>
        <v>912</v>
      </c>
      <c r="H311" s="102">
        <f t="shared" si="187"/>
        <v>4770</v>
      </c>
      <c r="I311" s="45">
        <f>SUM(I312:I313)</f>
        <v>0</v>
      </c>
      <c r="J311" s="45">
        <f>SUM(J312:J313)</f>
        <v>3446</v>
      </c>
      <c r="K311" s="45">
        <f>SUM(K312:K313)</f>
        <v>912</v>
      </c>
      <c r="L311" s="103">
        <f>SUM(L312:L313)</f>
        <v>4358</v>
      </c>
      <c r="M311" s="102">
        <f t="shared" si="187"/>
        <v>0</v>
      </c>
      <c r="N311" s="104">
        <f t="shared" si="187"/>
        <v>412</v>
      </c>
      <c r="O311" s="102">
        <f t="shared" si="187"/>
        <v>0</v>
      </c>
      <c r="P311" s="105">
        <f t="shared" si="187"/>
        <v>412</v>
      </c>
      <c r="Q311" s="106"/>
    </row>
    <row r="312" spans="1:17" ht="12.75" customHeight="1">
      <c r="A312" s="113" t="s">
        <v>20</v>
      </c>
      <c r="B312" s="114"/>
      <c r="C312" s="114"/>
      <c r="D312" s="114">
        <f>+B312+C312</f>
        <v>0</v>
      </c>
      <c r="E312" s="114"/>
      <c r="F312" s="114">
        <v>3858</v>
      </c>
      <c r="G312" s="114">
        <v>912</v>
      </c>
      <c r="H312" s="114">
        <f>SUM(E312:G312)</f>
        <v>4770</v>
      </c>
      <c r="I312" s="43"/>
      <c r="J312" s="43">
        <v>3446</v>
      </c>
      <c r="K312" s="43">
        <v>912</v>
      </c>
      <c r="L312" s="78">
        <f>SUM(I312:K312)</f>
        <v>4358</v>
      </c>
      <c r="M312" s="114">
        <f t="shared" ref="M312:O313" si="188">+E312-I312</f>
        <v>0</v>
      </c>
      <c r="N312" s="115">
        <f t="shared" si="188"/>
        <v>412</v>
      </c>
      <c r="O312" s="114">
        <f t="shared" si="188"/>
        <v>0</v>
      </c>
      <c r="P312" s="116">
        <f>SUM(M312:O312)</f>
        <v>412</v>
      </c>
      <c r="Q312" s="106"/>
    </row>
    <row r="313" spans="1:17" ht="12.75" customHeight="1">
      <c r="A313" s="113" t="s">
        <v>21</v>
      </c>
      <c r="B313" s="114"/>
      <c r="C313" s="114">
        <f>+H313</f>
        <v>0</v>
      </c>
      <c r="D313" s="114">
        <f>+B313+C313</f>
        <v>0</v>
      </c>
      <c r="E313" s="114"/>
      <c r="F313" s="114"/>
      <c r="G313" s="114"/>
      <c r="H313" s="114">
        <f>SUM(E313:G313)</f>
        <v>0</v>
      </c>
      <c r="I313" s="43"/>
      <c r="J313" s="43"/>
      <c r="K313" s="43"/>
      <c r="L313" s="78">
        <f>SUM(I313:K313)</f>
        <v>0</v>
      </c>
      <c r="M313" s="114">
        <f t="shared" si="188"/>
        <v>0</v>
      </c>
      <c r="N313" s="115">
        <f t="shared" si="188"/>
        <v>0</v>
      </c>
      <c r="O313" s="114">
        <f t="shared" si="188"/>
        <v>0</v>
      </c>
      <c r="P313" s="116">
        <f>SUM(M313:O313)</f>
        <v>0</v>
      </c>
      <c r="Q313" s="106"/>
    </row>
    <row r="314" spans="1:17" ht="12.75" customHeight="1">
      <c r="A314" s="229"/>
      <c r="B314" s="230"/>
      <c r="C314" s="230"/>
      <c r="D314" s="230"/>
      <c r="E314" s="102"/>
      <c r="F314" s="102"/>
      <c r="G314" s="102"/>
      <c r="H314" s="102"/>
      <c r="I314" s="45"/>
      <c r="J314" s="45"/>
      <c r="K314" s="45"/>
      <c r="L314" s="103"/>
      <c r="M314" s="102"/>
      <c r="N314" s="104"/>
      <c r="O314" s="102"/>
      <c r="P314" s="105"/>
      <c r="Q314" s="227"/>
    </row>
    <row r="315" spans="1:17" ht="12.75" customHeight="1">
      <c r="A315" s="120" t="s">
        <v>255</v>
      </c>
      <c r="B315" s="102">
        <f>+B316+B320</f>
        <v>467624</v>
      </c>
      <c r="C315" s="102">
        <f>+C316+C320</f>
        <v>142575</v>
      </c>
      <c r="D315" s="102">
        <f>+D316+D320</f>
        <v>610199</v>
      </c>
      <c r="E315" s="102">
        <f t="shared" ref="E315:P315" si="189">+E316+E320</f>
        <v>484946</v>
      </c>
      <c r="F315" s="102">
        <f t="shared" si="189"/>
        <v>125873</v>
      </c>
      <c r="G315" s="102">
        <f t="shared" si="189"/>
        <v>74671</v>
      </c>
      <c r="H315" s="102">
        <f t="shared" si="189"/>
        <v>685490</v>
      </c>
      <c r="I315" s="45">
        <f t="shared" si="189"/>
        <v>484946</v>
      </c>
      <c r="J315" s="45">
        <f t="shared" si="189"/>
        <v>117218</v>
      </c>
      <c r="K315" s="45">
        <f t="shared" si="189"/>
        <v>50854</v>
      </c>
      <c r="L315" s="103">
        <f t="shared" si="189"/>
        <v>653018</v>
      </c>
      <c r="M315" s="102">
        <f t="shared" si="189"/>
        <v>0</v>
      </c>
      <c r="N315" s="104">
        <f t="shared" si="189"/>
        <v>8655</v>
      </c>
      <c r="O315" s="102">
        <f t="shared" si="189"/>
        <v>23817</v>
      </c>
      <c r="P315" s="105">
        <f t="shared" si="189"/>
        <v>32472</v>
      </c>
      <c r="Q315" s="106">
        <f>+L315/H315</f>
        <v>0.95262950590088846</v>
      </c>
    </row>
    <row r="316" spans="1:17" ht="12.75" customHeight="1">
      <c r="A316" s="127" t="s">
        <v>15</v>
      </c>
      <c r="B316" s="108">
        <f>SUM(B317:B319)</f>
        <v>467624</v>
      </c>
      <c r="C316" s="108">
        <f>SUM(C317:C319)</f>
        <v>142575</v>
      </c>
      <c r="D316" s="108">
        <f>SUM(D317:D319)</f>
        <v>610199</v>
      </c>
      <c r="E316" s="108">
        <f t="shared" ref="E316:P316" si="190">SUM(E317:E319)</f>
        <v>484946</v>
      </c>
      <c r="F316" s="108">
        <f t="shared" si="190"/>
        <v>125873</v>
      </c>
      <c r="G316" s="108">
        <f t="shared" si="190"/>
        <v>74671</v>
      </c>
      <c r="H316" s="108">
        <f t="shared" si="190"/>
        <v>685490</v>
      </c>
      <c r="I316" s="109">
        <f>SUM(I317:I319)</f>
        <v>484946</v>
      </c>
      <c r="J316" s="109">
        <f>SUM(J317:J319)</f>
        <v>117218</v>
      </c>
      <c r="K316" s="109">
        <f>SUM(K317:K319)</f>
        <v>50854</v>
      </c>
      <c r="L316" s="110">
        <f>SUM(L317:L319)</f>
        <v>653018</v>
      </c>
      <c r="M316" s="108">
        <f t="shared" si="190"/>
        <v>0</v>
      </c>
      <c r="N316" s="111">
        <f t="shared" si="190"/>
        <v>8655</v>
      </c>
      <c r="O316" s="108">
        <f t="shared" si="190"/>
        <v>23817</v>
      </c>
      <c r="P316" s="112">
        <f t="shared" si="190"/>
        <v>32472</v>
      </c>
      <c r="Q316" s="106"/>
    </row>
    <row r="317" spans="1:17" ht="12.75" customHeight="1">
      <c r="A317" s="113" t="s">
        <v>16</v>
      </c>
      <c r="B317" s="114">
        <v>439072</v>
      </c>
      <c r="C317" s="114"/>
      <c r="D317" s="114">
        <f>+B317+C317</f>
        <v>439072</v>
      </c>
      <c r="E317" s="114">
        <v>313199</v>
      </c>
      <c r="F317" s="114">
        <v>125873</v>
      </c>
      <c r="G317" s="114">
        <v>74671</v>
      </c>
      <c r="H317" s="114">
        <f>SUM(E317:G317)</f>
        <v>513743</v>
      </c>
      <c r="I317" s="43">
        <v>313199</v>
      </c>
      <c r="J317" s="43">
        <v>117218</v>
      </c>
      <c r="K317" s="43">
        <v>50854</v>
      </c>
      <c r="L317" s="78">
        <f>SUM(I317:K317)</f>
        <v>481271</v>
      </c>
      <c r="M317" s="114">
        <f t="shared" ref="M317:O319" si="191">+E317-I317</f>
        <v>0</v>
      </c>
      <c r="N317" s="115">
        <f t="shared" si="191"/>
        <v>8655</v>
      </c>
      <c r="O317" s="114">
        <f t="shared" si="191"/>
        <v>23817</v>
      </c>
      <c r="P317" s="116">
        <f>SUM(M317:O317)</f>
        <v>32472</v>
      </c>
      <c r="Q317" s="106"/>
    </row>
    <row r="318" spans="1:17" ht="12.75" customHeight="1">
      <c r="A318" s="113" t="s">
        <v>17</v>
      </c>
      <c r="B318" s="114"/>
      <c r="C318" s="114">
        <f>+H318</f>
        <v>142575</v>
      </c>
      <c r="D318" s="114">
        <f>+B318+C318</f>
        <v>142575</v>
      </c>
      <c r="E318" s="114">
        <v>142575</v>
      </c>
      <c r="F318" s="114"/>
      <c r="G318" s="114"/>
      <c r="H318" s="114">
        <f>SUM(E318:G318)</f>
        <v>142575</v>
      </c>
      <c r="I318" s="43">
        <v>142575</v>
      </c>
      <c r="J318" s="43"/>
      <c r="K318" s="43"/>
      <c r="L318" s="78">
        <f>SUM(I318:K318)</f>
        <v>142575</v>
      </c>
      <c r="M318" s="114">
        <f t="shared" si="191"/>
        <v>0</v>
      </c>
      <c r="N318" s="115">
        <f t="shared" si="191"/>
        <v>0</v>
      </c>
      <c r="O318" s="114">
        <f t="shared" si="191"/>
        <v>0</v>
      </c>
      <c r="P318" s="116">
        <f>SUM(M318:O318)</f>
        <v>0</v>
      </c>
      <c r="Q318" s="106"/>
    </row>
    <row r="319" spans="1:17" ht="12.75" customHeight="1">
      <c r="A319" s="113" t="s">
        <v>18</v>
      </c>
      <c r="B319" s="114">
        <v>28552</v>
      </c>
      <c r="C319" s="114"/>
      <c r="D319" s="114">
        <f>+B319+C319</f>
        <v>28552</v>
      </c>
      <c r="E319" s="114">
        <v>29172</v>
      </c>
      <c r="F319" s="114"/>
      <c r="G319" s="114"/>
      <c r="H319" s="114">
        <f>SUM(E319:G319)</f>
        <v>29172</v>
      </c>
      <c r="I319" s="43">
        <v>29172</v>
      </c>
      <c r="J319" s="43"/>
      <c r="K319" s="43"/>
      <c r="L319" s="78">
        <f>SUM(I319:K319)</f>
        <v>29172</v>
      </c>
      <c r="M319" s="114">
        <f t="shared" si="191"/>
        <v>0</v>
      </c>
      <c r="N319" s="115">
        <f t="shared" si="191"/>
        <v>0</v>
      </c>
      <c r="O319" s="114">
        <f t="shared" si="191"/>
        <v>0</v>
      </c>
      <c r="P319" s="116">
        <f>SUM(M319:O319)</f>
        <v>0</v>
      </c>
      <c r="Q319" s="106"/>
    </row>
    <row r="320" spans="1:17" ht="12.75" customHeight="1">
      <c r="A320" s="113" t="s">
        <v>19</v>
      </c>
      <c r="B320" s="102">
        <f>SUM(B321:B322)</f>
        <v>0</v>
      </c>
      <c r="C320" s="102">
        <f>SUM(C321:C322)</f>
        <v>0</v>
      </c>
      <c r="D320" s="102">
        <f>SUM(D321:D322)</f>
        <v>0</v>
      </c>
      <c r="E320" s="102">
        <f t="shared" ref="E320:P320" si="192">SUM(E321:E322)</f>
        <v>0</v>
      </c>
      <c r="F320" s="102">
        <f t="shared" si="192"/>
        <v>0</v>
      </c>
      <c r="G320" s="102">
        <f t="shared" si="192"/>
        <v>0</v>
      </c>
      <c r="H320" s="102">
        <f t="shared" si="192"/>
        <v>0</v>
      </c>
      <c r="I320" s="45">
        <f>SUM(I321:I322)</f>
        <v>0</v>
      </c>
      <c r="J320" s="45">
        <f>SUM(J321:J322)</f>
        <v>0</v>
      </c>
      <c r="K320" s="45">
        <f>SUM(K321:K322)</f>
        <v>0</v>
      </c>
      <c r="L320" s="103">
        <f>SUM(L321:L322)</f>
        <v>0</v>
      </c>
      <c r="M320" s="102">
        <f t="shared" si="192"/>
        <v>0</v>
      </c>
      <c r="N320" s="104">
        <f t="shared" si="192"/>
        <v>0</v>
      </c>
      <c r="O320" s="102">
        <f t="shared" si="192"/>
        <v>0</v>
      </c>
      <c r="P320" s="105">
        <f t="shared" si="192"/>
        <v>0</v>
      </c>
      <c r="Q320" s="106"/>
    </row>
    <row r="321" spans="1:17" ht="12.75" customHeight="1">
      <c r="A321" s="113" t="s">
        <v>20</v>
      </c>
      <c r="B321" s="114"/>
      <c r="C321" s="114"/>
      <c r="D321" s="114">
        <f>+B321+C321</f>
        <v>0</v>
      </c>
      <c r="E321" s="114"/>
      <c r="F321" s="114"/>
      <c r="G321" s="114"/>
      <c r="H321" s="114">
        <f>SUM(E321:G321)</f>
        <v>0</v>
      </c>
      <c r="I321" s="43"/>
      <c r="J321" s="43"/>
      <c r="K321" s="43"/>
      <c r="L321" s="78">
        <f>SUM(I321:K321)</f>
        <v>0</v>
      </c>
      <c r="M321" s="114">
        <f t="shared" ref="M321:O322" si="193">+E321-I321</f>
        <v>0</v>
      </c>
      <c r="N321" s="115">
        <f t="shared" si="193"/>
        <v>0</v>
      </c>
      <c r="O321" s="114">
        <f t="shared" si="193"/>
        <v>0</v>
      </c>
      <c r="P321" s="116">
        <f>SUM(M321:O321)</f>
        <v>0</v>
      </c>
      <c r="Q321" s="106"/>
    </row>
    <row r="322" spans="1:17" ht="12.75" customHeight="1">
      <c r="A322" s="113" t="s">
        <v>21</v>
      </c>
      <c r="B322" s="114"/>
      <c r="C322" s="114"/>
      <c r="D322" s="114">
        <f>+B322+C322</f>
        <v>0</v>
      </c>
      <c r="E322" s="114"/>
      <c r="F322" s="114"/>
      <c r="G322" s="114"/>
      <c r="H322" s="114">
        <f>SUM(E322:G322)</f>
        <v>0</v>
      </c>
      <c r="I322" s="43"/>
      <c r="J322" s="43"/>
      <c r="K322" s="43"/>
      <c r="L322" s="78">
        <f>SUM(I322:K322)</f>
        <v>0</v>
      </c>
      <c r="M322" s="114">
        <f t="shared" si="193"/>
        <v>0</v>
      </c>
      <c r="N322" s="115">
        <f t="shared" si="193"/>
        <v>0</v>
      </c>
      <c r="O322" s="114">
        <f t="shared" si="193"/>
        <v>0</v>
      </c>
      <c r="P322" s="116">
        <f>SUM(M322:O322)</f>
        <v>0</v>
      </c>
      <c r="Q322" s="106"/>
    </row>
    <row r="323" spans="1:17" ht="12.75" customHeight="1">
      <c r="A323" s="121"/>
      <c r="B323" s="122"/>
      <c r="C323" s="122"/>
      <c r="D323" s="122"/>
      <c r="E323" s="114"/>
      <c r="F323" s="114"/>
      <c r="G323" s="114"/>
      <c r="H323" s="114"/>
      <c r="I323" s="43"/>
      <c r="J323" s="43"/>
      <c r="K323" s="43"/>
      <c r="L323" s="78"/>
      <c r="M323" s="114"/>
      <c r="N323" s="115"/>
      <c r="O323" s="114"/>
      <c r="P323" s="116"/>
      <c r="Q323" s="106"/>
    </row>
    <row r="324" spans="1:17">
      <c r="A324" s="135" t="s">
        <v>256</v>
      </c>
      <c r="B324" s="102">
        <f>+B325+B329</f>
        <v>142624</v>
      </c>
      <c r="C324" s="102">
        <f>+C325+C329</f>
        <v>23072</v>
      </c>
      <c r="D324" s="102">
        <f>+D325+D329</f>
        <v>165696</v>
      </c>
      <c r="E324" s="102">
        <f t="shared" ref="E324:P324" si="194">+E325+E329</f>
        <v>129493</v>
      </c>
      <c r="F324" s="102">
        <f t="shared" si="194"/>
        <v>37221</v>
      </c>
      <c r="G324" s="102">
        <f t="shared" si="194"/>
        <v>14583</v>
      </c>
      <c r="H324" s="102">
        <f t="shared" si="194"/>
        <v>181297</v>
      </c>
      <c r="I324" s="45">
        <f t="shared" si="194"/>
        <v>129048</v>
      </c>
      <c r="J324" s="45">
        <f t="shared" si="194"/>
        <v>37220</v>
      </c>
      <c r="K324" s="45">
        <f t="shared" si="194"/>
        <v>14427</v>
      </c>
      <c r="L324" s="103">
        <f t="shared" si="194"/>
        <v>180695</v>
      </c>
      <c r="M324" s="102">
        <f t="shared" si="194"/>
        <v>445</v>
      </c>
      <c r="N324" s="104">
        <f t="shared" si="194"/>
        <v>1</v>
      </c>
      <c r="O324" s="102">
        <f t="shared" si="194"/>
        <v>156</v>
      </c>
      <c r="P324" s="105">
        <f t="shared" si="194"/>
        <v>602</v>
      </c>
      <c r="Q324" s="106">
        <f>+L324/H324</f>
        <v>0.99667948173439158</v>
      </c>
    </row>
    <row r="325" spans="1:17" ht="12.75" customHeight="1">
      <c r="A325" s="127" t="s">
        <v>15</v>
      </c>
      <c r="B325" s="108">
        <f>SUM(B326:B328)</f>
        <v>142624</v>
      </c>
      <c r="C325" s="108">
        <f>SUM(C326:C328)</f>
        <v>23072</v>
      </c>
      <c r="D325" s="108">
        <f>SUM(D326:D328)</f>
        <v>165696</v>
      </c>
      <c r="E325" s="108">
        <f t="shared" ref="E325:P325" si="195">SUM(E326:E328)</f>
        <v>129493</v>
      </c>
      <c r="F325" s="108">
        <f t="shared" si="195"/>
        <v>37221</v>
      </c>
      <c r="G325" s="108">
        <f t="shared" si="195"/>
        <v>14583</v>
      </c>
      <c r="H325" s="108">
        <f t="shared" si="195"/>
        <v>181297</v>
      </c>
      <c r="I325" s="109">
        <f>SUM(I326:I328)</f>
        <v>129048</v>
      </c>
      <c r="J325" s="109">
        <f>SUM(J326:J328)</f>
        <v>37220</v>
      </c>
      <c r="K325" s="109">
        <f>SUM(K326:K328)</f>
        <v>14427</v>
      </c>
      <c r="L325" s="110">
        <f>SUM(L326:L328)</f>
        <v>180695</v>
      </c>
      <c r="M325" s="108">
        <f t="shared" si="195"/>
        <v>445</v>
      </c>
      <c r="N325" s="111">
        <f t="shared" si="195"/>
        <v>1</v>
      </c>
      <c r="O325" s="108">
        <f t="shared" si="195"/>
        <v>156</v>
      </c>
      <c r="P325" s="112">
        <f t="shared" si="195"/>
        <v>602</v>
      </c>
      <c r="Q325" s="106"/>
    </row>
    <row r="326" spans="1:17" ht="12.75" customHeight="1">
      <c r="A326" s="113" t="s">
        <v>16</v>
      </c>
      <c r="B326" s="114">
        <v>133472</v>
      </c>
      <c r="C326" s="114"/>
      <c r="D326" s="114">
        <f>+B326+C326</f>
        <v>133472</v>
      </c>
      <c r="E326" s="114">
        <v>96251</v>
      </c>
      <c r="F326" s="114">
        <v>37221</v>
      </c>
      <c r="G326" s="114">
        <v>14583</v>
      </c>
      <c r="H326" s="114">
        <f>SUM(E326:G326)</f>
        <v>148055</v>
      </c>
      <c r="I326" s="43">
        <v>96251</v>
      </c>
      <c r="J326" s="43">
        <v>37220</v>
      </c>
      <c r="K326" s="43">
        <v>14427</v>
      </c>
      <c r="L326" s="78">
        <f>SUM(I326:K326)</f>
        <v>147898</v>
      </c>
      <c r="M326" s="114">
        <f t="shared" ref="M326:O328" si="196">+E326-I326</f>
        <v>0</v>
      </c>
      <c r="N326" s="115">
        <f t="shared" si="196"/>
        <v>1</v>
      </c>
      <c r="O326" s="114">
        <f t="shared" si="196"/>
        <v>156</v>
      </c>
      <c r="P326" s="116">
        <f>SUM(M326:O326)</f>
        <v>157</v>
      </c>
      <c r="Q326" s="106"/>
    </row>
    <row r="327" spans="1:17" ht="12.75" customHeight="1">
      <c r="A327" s="113" t="s">
        <v>17</v>
      </c>
      <c r="B327" s="114"/>
      <c r="C327" s="114">
        <f>+H327</f>
        <v>23072</v>
      </c>
      <c r="D327" s="114">
        <f>+B327+C327</f>
        <v>23072</v>
      </c>
      <c r="E327" s="114">
        <v>23072</v>
      </c>
      <c r="F327" s="114"/>
      <c r="G327" s="114"/>
      <c r="H327" s="114">
        <f>SUM(E327:G327)</f>
        <v>23072</v>
      </c>
      <c r="I327" s="43">
        <v>23071</v>
      </c>
      <c r="J327" s="43"/>
      <c r="K327" s="43"/>
      <c r="L327" s="78">
        <f>SUM(I327:K327)</f>
        <v>23071</v>
      </c>
      <c r="M327" s="114">
        <f t="shared" si="196"/>
        <v>1</v>
      </c>
      <c r="N327" s="115">
        <f t="shared" si="196"/>
        <v>0</v>
      </c>
      <c r="O327" s="114">
        <f t="shared" si="196"/>
        <v>0</v>
      </c>
      <c r="P327" s="116">
        <f>SUM(M327:O327)</f>
        <v>1</v>
      </c>
      <c r="Q327" s="106"/>
    </row>
    <row r="328" spans="1:17" ht="12.75" customHeight="1">
      <c r="A328" s="113" t="s">
        <v>18</v>
      </c>
      <c r="B328" s="114">
        <v>9152</v>
      </c>
      <c r="C328" s="114"/>
      <c r="D328" s="114">
        <f>+B328+C328</f>
        <v>9152</v>
      </c>
      <c r="E328" s="114">
        <v>10170</v>
      </c>
      <c r="F328" s="114"/>
      <c r="G328" s="114"/>
      <c r="H328" s="114">
        <f>SUM(E328:G328)</f>
        <v>10170</v>
      </c>
      <c r="I328" s="43">
        <v>9726</v>
      </c>
      <c r="J328" s="43"/>
      <c r="K328" s="43"/>
      <c r="L328" s="78">
        <f>SUM(I328:K328)</f>
        <v>9726</v>
      </c>
      <c r="M328" s="114">
        <f t="shared" si="196"/>
        <v>444</v>
      </c>
      <c r="N328" s="115">
        <f t="shared" si="196"/>
        <v>0</v>
      </c>
      <c r="O328" s="114">
        <f t="shared" si="196"/>
        <v>0</v>
      </c>
      <c r="P328" s="116">
        <f>SUM(M328:O328)</f>
        <v>444</v>
      </c>
      <c r="Q328" s="106"/>
    </row>
    <row r="329" spans="1:17" ht="12.75" customHeight="1">
      <c r="A329" s="113" t="s">
        <v>19</v>
      </c>
      <c r="B329" s="102">
        <f>SUM(B330:B331)</f>
        <v>0</v>
      </c>
      <c r="C329" s="102">
        <f>SUM(C330:C331)</f>
        <v>0</v>
      </c>
      <c r="D329" s="102">
        <f>SUM(D330:D331)</f>
        <v>0</v>
      </c>
      <c r="E329" s="102">
        <f t="shared" ref="E329:P329" si="197">SUM(E330:E331)</f>
        <v>0</v>
      </c>
      <c r="F329" s="102">
        <f t="shared" si="197"/>
        <v>0</v>
      </c>
      <c r="G329" s="102">
        <f t="shared" si="197"/>
        <v>0</v>
      </c>
      <c r="H329" s="102">
        <f t="shared" si="197"/>
        <v>0</v>
      </c>
      <c r="I329" s="45">
        <f>SUM(I330:I331)</f>
        <v>0</v>
      </c>
      <c r="J329" s="45">
        <f>SUM(J330:J331)</f>
        <v>0</v>
      </c>
      <c r="K329" s="45">
        <f>SUM(K330:K331)</f>
        <v>0</v>
      </c>
      <c r="L329" s="103">
        <f>SUM(L330:L331)</f>
        <v>0</v>
      </c>
      <c r="M329" s="102">
        <f t="shared" si="197"/>
        <v>0</v>
      </c>
      <c r="N329" s="104">
        <f t="shared" si="197"/>
        <v>0</v>
      </c>
      <c r="O329" s="102">
        <f t="shared" si="197"/>
        <v>0</v>
      </c>
      <c r="P329" s="105">
        <f t="shared" si="197"/>
        <v>0</v>
      </c>
      <c r="Q329" s="106"/>
    </row>
    <row r="330" spans="1:17" ht="12.75" customHeight="1">
      <c r="A330" s="113" t="s">
        <v>20</v>
      </c>
      <c r="B330" s="114"/>
      <c r="C330" s="114"/>
      <c r="D330" s="114">
        <f>+B330+C330</f>
        <v>0</v>
      </c>
      <c r="E330" s="114"/>
      <c r="F330" s="114"/>
      <c r="G330" s="114"/>
      <c r="H330" s="114">
        <f>SUM(E330:G330)</f>
        <v>0</v>
      </c>
      <c r="I330" s="43"/>
      <c r="J330" s="43"/>
      <c r="K330" s="43"/>
      <c r="L330" s="78">
        <f>SUM(I330:K330)</f>
        <v>0</v>
      </c>
      <c r="M330" s="114">
        <f t="shared" ref="M330:O331" si="198">+E330-I330</f>
        <v>0</v>
      </c>
      <c r="N330" s="115">
        <f t="shared" si="198"/>
        <v>0</v>
      </c>
      <c r="O330" s="114">
        <f t="shared" si="198"/>
        <v>0</v>
      </c>
      <c r="P330" s="116">
        <f>SUM(M330:O330)</f>
        <v>0</v>
      </c>
      <c r="Q330" s="106"/>
    </row>
    <row r="331" spans="1:17" ht="12.75" customHeight="1">
      <c r="A331" s="113" t="s">
        <v>21</v>
      </c>
      <c r="B331" s="114"/>
      <c r="C331" s="114">
        <f>+H331</f>
        <v>0</v>
      </c>
      <c r="D331" s="114">
        <f>+B331+C331</f>
        <v>0</v>
      </c>
      <c r="E331" s="114"/>
      <c r="F331" s="114"/>
      <c r="G331" s="114"/>
      <c r="H331" s="114">
        <f>SUM(E331:G331)</f>
        <v>0</v>
      </c>
      <c r="I331" s="43"/>
      <c r="J331" s="43"/>
      <c r="K331" s="43"/>
      <c r="L331" s="78">
        <f>SUM(I331:K331)</f>
        <v>0</v>
      </c>
      <c r="M331" s="114">
        <f t="shared" si="198"/>
        <v>0</v>
      </c>
      <c r="N331" s="115">
        <f t="shared" si="198"/>
        <v>0</v>
      </c>
      <c r="O331" s="114">
        <f t="shared" si="198"/>
        <v>0</v>
      </c>
      <c r="P331" s="116">
        <f>SUM(M331:O331)</f>
        <v>0</v>
      </c>
      <c r="Q331" s="106"/>
    </row>
    <row r="332" spans="1:17" ht="12.75" customHeight="1">
      <c r="A332" s="127"/>
      <c r="B332" s="137"/>
      <c r="C332" s="137"/>
      <c r="D332" s="137"/>
      <c r="E332" s="114"/>
      <c r="F332" s="114"/>
      <c r="G332" s="114"/>
      <c r="H332" s="114"/>
      <c r="I332" s="43"/>
      <c r="J332" s="43"/>
      <c r="K332" s="43"/>
      <c r="L332" s="78"/>
      <c r="M332" s="114"/>
      <c r="N332" s="115"/>
      <c r="O332" s="114"/>
      <c r="P332" s="116"/>
      <c r="Q332" s="106"/>
    </row>
    <row r="333" spans="1:17" ht="12.75" customHeight="1">
      <c r="A333" s="135" t="s">
        <v>257</v>
      </c>
      <c r="B333" s="102">
        <f>+B334+B338</f>
        <v>254577</v>
      </c>
      <c r="C333" s="102">
        <f>+C334+C338</f>
        <v>39623</v>
      </c>
      <c r="D333" s="102">
        <f>+D334+D338</f>
        <v>294200</v>
      </c>
      <c r="E333" s="102">
        <f t="shared" ref="E333:P333" si="199">+E334+E338</f>
        <v>211982</v>
      </c>
      <c r="F333" s="102">
        <f t="shared" si="199"/>
        <v>64048</v>
      </c>
      <c r="G333" s="102">
        <f t="shared" si="199"/>
        <v>26385</v>
      </c>
      <c r="H333" s="102">
        <f t="shared" si="199"/>
        <v>302415</v>
      </c>
      <c r="I333" s="45">
        <f t="shared" si="199"/>
        <v>200685</v>
      </c>
      <c r="J333" s="45">
        <f t="shared" si="199"/>
        <v>54676</v>
      </c>
      <c r="K333" s="45">
        <f t="shared" si="199"/>
        <v>11878</v>
      </c>
      <c r="L333" s="103">
        <f t="shared" si="199"/>
        <v>267239</v>
      </c>
      <c r="M333" s="102">
        <f t="shared" si="199"/>
        <v>11297</v>
      </c>
      <c r="N333" s="104">
        <f t="shared" si="199"/>
        <v>9372</v>
      </c>
      <c r="O333" s="102">
        <f t="shared" si="199"/>
        <v>14507</v>
      </c>
      <c r="P333" s="105">
        <f t="shared" si="199"/>
        <v>35176</v>
      </c>
      <c r="Q333" s="106">
        <f>+L333/H333</f>
        <v>0.88368301836879781</v>
      </c>
    </row>
    <row r="334" spans="1:17" ht="12.75" customHeight="1">
      <c r="A334" s="127" t="s">
        <v>15</v>
      </c>
      <c r="B334" s="108">
        <f>SUM(B335:B337)</f>
        <v>254577</v>
      </c>
      <c r="C334" s="108">
        <f>SUM(C335:C337)</f>
        <v>39623</v>
      </c>
      <c r="D334" s="108">
        <f>SUM(D335:D337)</f>
        <v>294200</v>
      </c>
      <c r="E334" s="108">
        <f t="shared" ref="E334:P334" si="200">SUM(E335:E337)</f>
        <v>211982</v>
      </c>
      <c r="F334" s="108">
        <f t="shared" si="200"/>
        <v>56591</v>
      </c>
      <c r="G334" s="108">
        <f t="shared" si="200"/>
        <v>26354</v>
      </c>
      <c r="H334" s="108">
        <f t="shared" si="200"/>
        <v>294927</v>
      </c>
      <c r="I334" s="109">
        <f>SUM(I335:I337)</f>
        <v>200685</v>
      </c>
      <c r="J334" s="109">
        <f>SUM(J335:J337)</f>
        <v>47564</v>
      </c>
      <c r="K334" s="109">
        <f>SUM(K335:K337)</f>
        <v>11878</v>
      </c>
      <c r="L334" s="110">
        <f>SUM(L335:L337)</f>
        <v>260127</v>
      </c>
      <c r="M334" s="108">
        <f t="shared" si="200"/>
        <v>11297</v>
      </c>
      <c r="N334" s="111">
        <f t="shared" si="200"/>
        <v>9027</v>
      </c>
      <c r="O334" s="108">
        <f t="shared" si="200"/>
        <v>14476</v>
      </c>
      <c r="P334" s="112">
        <f t="shared" si="200"/>
        <v>34800</v>
      </c>
      <c r="Q334" s="106"/>
    </row>
    <row r="335" spans="1:17" ht="12.75" customHeight="1">
      <c r="A335" s="113" t="s">
        <v>16</v>
      </c>
      <c r="B335" s="114">
        <v>237776</v>
      </c>
      <c r="C335" s="114">
        <v>18045</v>
      </c>
      <c r="D335" s="114">
        <f>+B335+C335</f>
        <v>255821</v>
      </c>
      <c r="E335" s="114">
        <v>172876</v>
      </c>
      <c r="F335" s="114">
        <v>56591</v>
      </c>
      <c r="G335" s="114">
        <v>26354</v>
      </c>
      <c r="H335" s="114">
        <f>SUM(E335:G335)</f>
        <v>255821</v>
      </c>
      <c r="I335" s="43">
        <v>166691</v>
      </c>
      <c r="J335" s="43">
        <v>47564</v>
      </c>
      <c r="K335" s="43">
        <v>11878</v>
      </c>
      <c r="L335" s="78">
        <f>SUM(I335:K335)</f>
        <v>226133</v>
      </c>
      <c r="M335" s="114">
        <f t="shared" ref="M335:O337" si="201">+E335-I335</f>
        <v>6185</v>
      </c>
      <c r="N335" s="115">
        <f t="shared" si="201"/>
        <v>9027</v>
      </c>
      <c r="O335" s="114">
        <f t="shared" si="201"/>
        <v>14476</v>
      </c>
      <c r="P335" s="116">
        <f>SUM(M335:O335)</f>
        <v>29688</v>
      </c>
      <c r="Q335" s="106"/>
    </row>
    <row r="336" spans="1:17" ht="12.75" customHeight="1">
      <c r="A336" s="113" t="s">
        <v>17</v>
      </c>
      <c r="B336" s="114"/>
      <c r="C336" s="114">
        <f>+H336</f>
        <v>21578</v>
      </c>
      <c r="D336" s="114">
        <f>+B336+C336</f>
        <v>21578</v>
      </c>
      <c r="E336" s="114">
        <v>21578</v>
      </c>
      <c r="F336" s="114"/>
      <c r="G336" s="114"/>
      <c r="H336" s="114">
        <f>SUM(E336:G336)</f>
        <v>21578</v>
      </c>
      <c r="I336" s="43">
        <v>19789</v>
      </c>
      <c r="J336" s="43"/>
      <c r="K336" s="43"/>
      <c r="L336" s="78">
        <f>SUM(I336:K336)</f>
        <v>19789</v>
      </c>
      <c r="M336" s="114">
        <f t="shared" si="201"/>
        <v>1789</v>
      </c>
      <c r="N336" s="115">
        <f t="shared" si="201"/>
        <v>0</v>
      </c>
      <c r="O336" s="114">
        <f t="shared" si="201"/>
        <v>0</v>
      </c>
      <c r="P336" s="116">
        <f>SUM(M336:O336)</f>
        <v>1789</v>
      </c>
      <c r="Q336" s="106"/>
    </row>
    <row r="337" spans="1:17" ht="12.75" customHeight="1">
      <c r="A337" s="113" t="s">
        <v>18</v>
      </c>
      <c r="B337" s="114">
        <v>16801</v>
      </c>
      <c r="C337" s="114"/>
      <c r="D337" s="114">
        <f>+B337+C337</f>
        <v>16801</v>
      </c>
      <c r="E337" s="114">
        <v>17528</v>
      </c>
      <c r="F337" s="114"/>
      <c r="G337" s="114"/>
      <c r="H337" s="114">
        <f>SUM(E337:G337)</f>
        <v>17528</v>
      </c>
      <c r="I337" s="43">
        <v>14205</v>
      </c>
      <c r="J337" s="43"/>
      <c r="K337" s="43"/>
      <c r="L337" s="78">
        <f>SUM(I337:K337)</f>
        <v>14205</v>
      </c>
      <c r="M337" s="114">
        <f t="shared" si="201"/>
        <v>3323</v>
      </c>
      <c r="N337" s="115">
        <f t="shared" si="201"/>
        <v>0</v>
      </c>
      <c r="O337" s="114">
        <f t="shared" si="201"/>
        <v>0</v>
      </c>
      <c r="P337" s="116">
        <f>SUM(M337:O337)</f>
        <v>3323</v>
      </c>
      <c r="Q337" s="106"/>
    </row>
    <row r="338" spans="1:17" ht="12.75" customHeight="1">
      <c r="A338" s="113" t="s">
        <v>19</v>
      </c>
      <c r="B338" s="102">
        <f>SUM(B339:B340)</f>
        <v>0</v>
      </c>
      <c r="C338" s="102">
        <f>SUM(C339:C340)</f>
        <v>0</v>
      </c>
      <c r="D338" s="102">
        <f>SUM(D339:D340)</f>
        <v>0</v>
      </c>
      <c r="E338" s="102">
        <f t="shared" ref="E338:P338" si="202">SUM(E339:E340)</f>
        <v>0</v>
      </c>
      <c r="F338" s="102">
        <f t="shared" si="202"/>
        <v>7457</v>
      </c>
      <c r="G338" s="102">
        <f t="shared" si="202"/>
        <v>31</v>
      </c>
      <c r="H338" s="102">
        <f t="shared" si="202"/>
        <v>7488</v>
      </c>
      <c r="I338" s="45">
        <f>SUM(I339:I340)</f>
        <v>0</v>
      </c>
      <c r="J338" s="45">
        <f>SUM(J339:J340)</f>
        <v>7112</v>
      </c>
      <c r="K338" s="45">
        <f>SUM(K339:K340)</f>
        <v>0</v>
      </c>
      <c r="L338" s="103">
        <f>SUM(L339:L340)</f>
        <v>7112</v>
      </c>
      <c r="M338" s="102">
        <f t="shared" si="202"/>
        <v>0</v>
      </c>
      <c r="N338" s="104">
        <f t="shared" si="202"/>
        <v>345</v>
      </c>
      <c r="O338" s="102">
        <f t="shared" si="202"/>
        <v>31</v>
      </c>
      <c r="P338" s="105">
        <f t="shared" si="202"/>
        <v>376</v>
      </c>
      <c r="Q338" s="106"/>
    </row>
    <row r="339" spans="1:17" ht="12.75" customHeight="1">
      <c r="A339" s="113" t="s">
        <v>20</v>
      </c>
      <c r="B339" s="114"/>
      <c r="C339" s="114"/>
      <c r="D339" s="114">
        <f>+B339+C339</f>
        <v>0</v>
      </c>
      <c r="E339" s="114"/>
      <c r="F339" s="114">
        <v>7457</v>
      </c>
      <c r="G339" s="114">
        <v>31</v>
      </c>
      <c r="H339" s="114">
        <f>SUM(E339:G339)</f>
        <v>7488</v>
      </c>
      <c r="I339" s="43"/>
      <c r="J339" s="43">
        <v>7112</v>
      </c>
      <c r="K339" s="43"/>
      <c r="L339" s="78">
        <f>SUM(I339:K339)</f>
        <v>7112</v>
      </c>
      <c r="M339" s="114">
        <f t="shared" ref="M339:O340" si="203">+E339-I339</f>
        <v>0</v>
      </c>
      <c r="N339" s="115">
        <f t="shared" si="203"/>
        <v>345</v>
      </c>
      <c r="O339" s="114">
        <f t="shared" si="203"/>
        <v>31</v>
      </c>
      <c r="P339" s="116">
        <f>SUM(M339:O339)</f>
        <v>376</v>
      </c>
      <c r="Q339" s="106"/>
    </row>
    <row r="340" spans="1:17" ht="12.75" customHeight="1">
      <c r="A340" s="113" t="s">
        <v>21</v>
      </c>
      <c r="B340" s="114"/>
      <c r="C340" s="114">
        <f>+H340</f>
        <v>0</v>
      </c>
      <c r="D340" s="114">
        <f>+B340+C340</f>
        <v>0</v>
      </c>
      <c r="E340" s="114"/>
      <c r="F340" s="114"/>
      <c r="G340" s="114"/>
      <c r="H340" s="114">
        <f>SUM(E340:G340)</f>
        <v>0</v>
      </c>
      <c r="I340" s="43"/>
      <c r="J340" s="43"/>
      <c r="K340" s="43"/>
      <c r="L340" s="78">
        <f>SUM(I340:K340)</f>
        <v>0</v>
      </c>
      <c r="M340" s="114">
        <f t="shared" si="203"/>
        <v>0</v>
      </c>
      <c r="N340" s="115">
        <f t="shared" si="203"/>
        <v>0</v>
      </c>
      <c r="O340" s="114">
        <f t="shared" si="203"/>
        <v>0</v>
      </c>
      <c r="P340" s="116">
        <f>SUM(M340:O340)</f>
        <v>0</v>
      </c>
      <c r="Q340" s="106"/>
    </row>
    <row r="341" spans="1:17" ht="12.75" customHeight="1">
      <c r="A341" s="127"/>
      <c r="B341" s="137"/>
      <c r="C341" s="137"/>
      <c r="D341" s="137"/>
      <c r="E341" s="114"/>
      <c r="F341" s="114"/>
      <c r="G341" s="114"/>
      <c r="H341" s="114"/>
      <c r="I341" s="43"/>
      <c r="J341" s="43"/>
      <c r="K341" s="43"/>
      <c r="L341" s="78"/>
      <c r="M341" s="114"/>
      <c r="N341" s="115"/>
      <c r="O341" s="114"/>
      <c r="P341" s="116"/>
      <c r="Q341" s="106"/>
    </row>
    <row r="342" spans="1:17" ht="12.75" customHeight="1">
      <c r="A342" s="135" t="s">
        <v>258</v>
      </c>
      <c r="B342" s="102">
        <f>+B343+B347</f>
        <v>148018</v>
      </c>
      <c r="C342" s="102">
        <f>+C343+C347</f>
        <v>89514</v>
      </c>
      <c r="D342" s="102">
        <f>+D343+D347</f>
        <v>237532</v>
      </c>
      <c r="E342" s="102">
        <f t="shared" ref="E342:P342" si="204">+E343+E347</f>
        <v>181387</v>
      </c>
      <c r="F342" s="102">
        <f t="shared" si="204"/>
        <v>39893</v>
      </c>
      <c r="G342" s="102">
        <f t="shared" si="204"/>
        <v>16695</v>
      </c>
      <c r="H342" s="102">
        <f t="shared" si="204"/>
        <v>237975</v>
      </c>
      <c r="I342" s="45">
        <f t="shared" si="204"/>
        <v>181387</v>
      </c>
      <c r="J342" s="45">
        <f t="shared" si="204"/>
        <v>39893</v>
      </c>
      <c r="K342" s="45">
        <f t="shared" si="204"/>
        <v>16695</v>
      </c>
      <c r="L342" s="103">
        <f t="shared" si="204"/>
        <v>237975</v>
      </c>
      <c r="M342" s="102">
        <f t="shared" si="204"/>
        <v>0</v>
      </c>
      <c r="N342" s="104">
        <f t="shared" si="204"/>
        <v>0</v>
      </c>
      <c r="O342" s="102">
        <f t="shared" si="204"/>
        <v>0</v>
      </c>
      <c r="P342" s="105">
        <f t="shared" si="204"/>
        <v>0</v>
      </c>
      <c r="Q342" s="106">
        <f>+L342/H342</f>
        <v>1</v>
      </c>
    </row>
    <row r="343" spans="1:17" ht="12.75" customHeight="1">
      <c r="A343" s="127" t="s">
        <v>15</v>
      </c>
      <c r="B343" s="108">
        <f>SUM(B344:B346)</f>
        <v>148018</v>
      </c>
      <c r="C343" s="108">
        <f>SUM(C344:C346)</f>
        <v>89514</v>
      </c>
      <c r="D343" s="108">
        <f>SUM(D344:D346)</f>
        <v>237532</v>
      </c>
      <c r="E343" s="108">
        <f t="shared" ref="E343:P343" si="205">SUM(E344:E346)</f>
        <v>181387</v>
      </c>
      <c r="F343" s="108">
        <f t="shared" si="205"/>
        <v>39893</v>
      </c>
      <c r="G343" s="108">
        <f t="shared" si="205"/>
        <v>16695</v>
      </c>
      <c r="H343" s="108">
        <f t="shared" si="205"/>
        <v>237975</v>
      </c>
      <c r="I343" s="109">
        <f>SUM(I344:I346)</f>
        <v>181387</v>
      </c>
      <c r="J343" s="109">
        <f>SUM(J344:J346)</f>
        <v>39893</v>
      </c>
      <c r="K343" s="109">
        <f>SUM(K344:K346)</f>
        <v>16695</v>
      </c>
      <c r="L343" s="110">
        <f>SUM(L344:L346)</f>
        <v>237975</v>
      </c>
      <c r="M343" s="108">
        <f t="shared" si="205"/>
        <v>0</v>
      </c>
      <c r="N343" s="111">
        <f t="shared" si="205"/>
        <v>0</v>
      </c>
      <c r="O343" s="108">
        <f t="shared" si="205"/>
        <v>0</v>
      </c>
      <c r="P343" s="112">
        <f t="shared" si="205"/>
        <v>0</v>
      </c>
      <c r="Q343" s="106"/>
    </row>
    <row r="344" spans="1:17" ht="12.75" customHeight="1">
      <c r="A344" s="113" t="s">
        <v>16</v>
      </c>
      <c r="B344" s="114">
        <v>138880</v>
      </c>
      <c r="C344" s="114">
        <v>16695</v>
      </c>
      <c r="D344" s="114">
        <f>+B344+C344</f>
        <v>155575</v>
      </c>
      <c r="E344" s="114">
        <v>98987</v>
      </c>
      <c r="F344" s="114">
        <v>39893</v>
      </c>
      <c r="G344" s="114">
        <v>16695</v>
      </c>
      <c r="H344" s="114">
        <f>SUM(E344:G344)</f>
        <v>155575</v>
      </c>
      <c r="I344" s="43">
        <v>98987</v>
      </c>
      <c r="J344" s="43">
        <v>39893</v>
      </c>
      <c r="K344" s="43">
        <v>16695</v>
      </c>
      <c r="L344" s="78">
        <f>SUM(I344:K344)</f>
        <v>155575</v>
      </c>
      <c r="M344" s="114">
        <f t="shared" ref="M344:O346" si="206">+E344-I344</f>
        <v>0</v>
      </c>
      <c r="N344" s="115">
        <f t="shared" si="206"/>
        <v>0</v>
      </c>
      <c r="O344" s="114">
        <f t="shared" si="206"/>
        <v>0</v>
      </c>
      <c r="P344" s="116">
        <f>SUM(M344:O344)</f>
        <v>0</v>
      </c>
      <c r="Q344" s="106"/>
    </row>
    <row r="345" spans="1:17" ht="12.75" customHeight="1">
      <c r="A345" s="113" t="s">
        <v>17</v>
      </c>
      <c r="B345" s="114"/>
      <c r="C345" s="114">
        <f>+H345</f>
        <v>72819</v>
      </c>
      <c r="D345" s="114">
        <f>+B345+C345</f>
        <v>72819</v>
      </c>
      <c r="E345" s="114">
        <v>72819</v>
      </c>
      <c r="F345" s="114"/>
      <c r="G345" s="114"/>
      <c r="H345" s="114">
        <f>SUM(E345:G345)</f>
        <v>72819</v>
      </c>
      <c r="I345" s="43">
        <v>72819</v>
      </c>
      <c r="J345" s="43"/>
      <c r="K345" s="43"/>
      <c r="L345" s="78">
        <f>SUM(I345:K345)</f>
        <v>72819</v>
      </c>
      <c r="M345" s="114">
        <f t="shared" si="206"/>
        <v>0</v>
      </c>
      <c r="N345" s="115">
        <f t="shared" si="206"/>
        <v>0</v>
      </c>
      <c r="O345" s="114">
        <f t="shared" si="206"/>
        <v>0</v>
      </c>
      <c r="P345" s="116">
        <f>SUM(M345:O345)</f>
        <v>0</v>
      </c>
      <c r="Q345" s="106"/>
    </row>
    <row r="346" spans="1:17" ht="12.75" customHeight="1">
      <c r="A346" s="113" t="s">
        <v>18</v>
      </c>
      <c r="B346" s="114">
        <v>9138</v>
      </c>
      <c r="C346" s="114"/>
      <c r="D346" s="114">
        <f>+B346+C346</f>
        <v>9138</v>
      </c>
      <c r="E346" s="114">
        <v>9581</v>
      </c>
      <c r="F346" s="114"/>
      <c r="G346" s="114"/>
      <c r="H346" s="114">
        <f>SUM(E346:G346)</f>
        <v>9581</v>
      </c>
      <c r="I346" s="43">
        <v>9581</v>
      </c>
      <c r="J346" s="43"/>
      <c r="K346" s="43"/>
      <c r="L346" s="78">
        <f>SUM(I346:K346)</f>
        <v>9581</v>
      </c>
      <c r="M346" s="114">
        <f t="shared" si="206"/>
        <v>0</v>
      </c>
      <c r="N346" s="115">
        <f t="shared" si="206"/>
        <v>0</v>
      </c>
      <c r="O346" s="114">
        <f t="shared" si="206"/>
        <v>0</v>
      </c>
      <c r="P346" s="116">
        <f>SUM(M346:O346)</f>
        <v>0</v>
      </c>
      <c r="Q346" s="106"/>
    </row>
    <row r="347" spans="1:17" ht="12.75" customHeight="1">
      <c r="A347" s="113" t="s">
        <v>19</v>
      </c>
      <c r="B347" s="102">
        <f>SUM(B348:B349)</f>
        <v>0</v>
      </c>
      <c r="C347" s="102">
        <f>SUM(C348:C349)</f>
        <v>0</v>
      </c>
      <c r="D347" s="102">
        <f>SUM(D348:D349)</f>
        <v>0</v>
      </c>
      <c r="E347" s="102"/>
      <c r="F347" s="102"/>
      <c r="G347" s="102"/>
      <c r="H347" s="102">
        <f t="shared" ref="H347:P347" si="207">SUM(H348:H349)</f>
        <v>0</v>
      </c>
      <c r="I347" s="45">
        <f>SUM(I348:I349)</f>
        <v>0</v>
      </c>
      <c r="J347" s="45">
        <f>SUM(J348:J349)</f>
        <v>0</v>
      </c>
      <c r="K347" s="45">
        <f>SUM(K348:K349)</f>
        <v>0</v>
      </c>
      <c r="L347" s="103">
        <f>SUM(L348:L349)</f>
        <v>0</v>
      </c>
      <c r="M347" s="102">
        <f t="shared" si="207"/>
        <v>0</v>
      </c>
      <c r="N347" s="104">
        <f t="shared" si="207"/>
        <v>0</v>
      </c>
      <c r="O347" s="102">
        <f t="shared" si="207"/>
        <v>0</v>
      </c>
      <c r="P347" s="105">
        <f t="shared" si="207"/>
        <v>0</v>
      </c>
      <c r="Q347" s="106"/>
    </row>
    <row r="348" spans="1:17" ht="12.75" customHeight="1">
      <c r="A348" s="113" t="s">
        <v>20</v>
      </c>
      <c r="B348" s="114"/>
      <c r="C348" s="114"/>
      <c r="D348" s="114">
        <f>+B348+C348</f>
        <v>0</v>
      </c>
      <c r="E348" s="114"/>
      <c r="F348" s="114"/>
      <c r="G348" s="114"/>
      <c r="H348" s="114">
        <f>SUM(E348:G348)</f>
        <v>0</v>
      </c>
      <c r="I348" s="43"/>
      <c r="J348" s="43"/>
      <c r="K348" s="43"/>
      <c r="L348" s="78">
        <f>SUM(I348:K348)</f>
        <v>0</v>
      </c>
      <c r="M348" s="114">
        <f t="shared" ref="M348:O349" si="208">+E348-I348</f>
        <v>0</v>
      </c>
      <c r="N348" s="115">
        <f t="shared" si="208"/>
        <v>0</v>
      </c>
      <c r="O348" s="114">
        <f t="shared" si="208"/>
        <v>0</v>
      </c>
      <c r="P348" s="116">
        <f>SUM(M348:O348)</f>
        <v>0</v>
      </c>
      <c r="Q348" s="106"/>
    </row>
    <row r="349" spans="1:17" ht="12.75" customHeight="1">
      <c r="A349" s="113" t="s">
        <v>21</v>
      </c>
      <c r="B349" s="114"/>
      <c r="C349" s="114"/>
      <c r="D349" s="114">
        <f>+B349+C349</f>
        <v>0</v>
      </c>
      <c r="E349" s="114"/>
      <c r="F349" s="114"/>
      <c r="G349" s="114"/>
      <c r="H349" s="114">
        <f>SUM(E349:G349)</f>
        <v>0</v>
      </c>
      <c r="I349" s="43"/>
      <c r="J349" s="43"/>
      <c r="K349" s="43"/>
      <c r="L349" s="78">
        <f>SUM(I349:K349)</f>
        <v>0</v>
      </c>
      <c r="M349" s="114">
        <f t="shared" si="208"/>
        <v>0</v>
      </c>
      <c r="N349" s="115">
        <f t="shared" si="208"/>
        <v>0</v>
      </c>
      <c r="O349" s="114">
        <f t="shared" si="208"/>
        <v>0</v>
      </c>
      <c r="P349" s="116">
        <f>SUM(M349:O349)</f>
        <v>0</v>
      </c>
      <c r="Q349" s="106"/>
    </row>
    <row r="350" spans="1:17" ht="12.75" customHeight="1">
      <c r="A350" s="127"/>
      <c r="B350" s="137"/>
      <c r="C350" s="137"/>
      <c r="D350" s="137"/>
      <c r="E350" s="114"/>
      <c r="F350" s="114"/>
      <c r="G350" s="114"/>
      <c r="H350" s="114"/>
      <c r="I350" s="43"/>
      <c r="J350" s="43"/>
      <c r="K350" s="43"/>
      <c r="L350" s="78"/>
      <c r="M350" s="114"/>
      <c r="N350" s="115"/>
      <c r="O350" s="114"/>
      <c r="P350" s="116"/>
      <c r="Q350" s="106"/>
    </row>
    <row r="351" spans="1:17" ht="12.75" customHeight="1">
      <c r="A351" s="135" t="s">
        <v>259</v>
      </c>
      <c r="B351" s="102">
        <f>+B352+B356</f>
        <v>141773</v>
      </c>
      <c r="C351" s="102">
        <f>+C352+C356</f>
        <v>0</v>
      </c>
      <c r="D351" s="102">
        <f>+D352+D356</f>
        <v>141773</v>
      </c>
      <c r="E351" s="102">
        <f t="shared" ref="E351:P351" si="209">+E352+E356</f>
        <v>75552</v>
      </c>
      <c r="F351" s="102">
        <f t="shared" si="209"/>
        <v>71547</v>
      </c>
      <c r="G351" s="102">
        <f t="shared" si="209"/>
        <v>20000</v>
      </c>
      <c r="H351" s="102">
        <f t="shared" si="209"/>
        <v>167099</v>
      </c>
      <c r="I351" s="45">
        <f t="shared" si="209"/>
        <v>74457</v>
      </c>
      <c r="J351" s="45">
        <f t="shared" si="209"/>
        <v>71544</v>
      </c>
      <c r="K351" s="45">
        <f t="shared" si="209"/>
        <v>19867</v>
      </c>
      <c r="L351" s="103">
        <f t="shared" si="209"/>
        <v>165868</v>
      </c>
      <c r="M351" s="102">
        <f t="shared" si="209"/>
        <v>1095</v>
      </c>
      <c r="N351" s="104">
        <f t="shared" si="209"/>
        <v>3</v>
      </c>
      <c r="O351" s="102">
        <f t="shared" si="209"/>
        <v>133</v>
      </c>
      <c r="P351" s="105">
        <f t="shared" si="209"/>
        <v>1231</v>
      </c>
      <c r="Q351" s="106">
        <f>+L351/H351</f>
        <v>0.99263310971340346</v>
      </c>
    </row>
    <row r="352" spans="1:17" ht="12.75" customHeight="1">
      <c r="A352" s="127" t="s">
        <v>15</v>
      </c>
      <c r="B352" s="108">
        <f>SUM(B353:B355)</f>
        <v>141773</v>
      </c>
      <c r="C352" s="108">
        <f>SUM(C353:C355)</f>
        <v>0</v>
      </c>
      <c r="D352" s="108">
        <f>SUM(D353:D355)</f>
        <v>141773</v>
      </c>
      <c r="E352" s="108">
        <f t="shared" ref="E352:P352" si="210">SUM(E353:E355)</f>
        <v>75552</v>
      </c>
      <c r="F352" s="108">
        <f t="shared" si="210"/>
        <v>71547</v>
      </c>
      <c r="G352" s="108">
        <f t="shared" si="210"/>
        <v>20000</v>
      </c>
      <c r="H352" s="108">
        <f t="shared" si="210"/>
        <v>167099</v>
      </c>
      <c r="I352" s="109">
        <f>SUM(I353:I355)</f>
        <v>74457</v>
      </c>
      <c r="J352" s="109">
        <f>SUM(J353:J355)</f>
        <v>71544</v>
      </c>
      <c r="K352" s="109">
        <f>SUM(K353:K355)</f>
        <v>19867</v>
      </c>
      <c r="L352" s="110">
        <f>SUM(L353:L355)</f>
        <v>165868</v>
      </c>
      <c r="M352" s="108">
        <f t="shared" si="210"/>
        <v>1095</v>
      </c>
      <c r="N352" s="111">
        <f t="shared" si="210"/>
        <v>3</v>
      </c>
      <c r="O352" s="108">
        <f t="shared" si="210"/>
        <v>133</v>
      </c>
      <c r="P352" s="112">
        <f t="shared" si="210"/>
        <v>1231</v>
      </c>
      <c r="Q352" s="106"/>
    </row>
    <row r="353" spans="1:17" ht="12.75" customHeight="1">
      <c r="A353" s="113" t="s">
        <v>16</v>
      </c>
      <c r="B353" s="114">
        <v>136241</v>
      </c>
      <c r="C353" s="114"/>
      <c r="D353" s="114">
        <f>+B353+C353</f>
        <v>136241</v>
      </c>
      <c r="E353" s="114">
        <v>61240</v>
      </c>
      <c r="F353" s="114">
        <v>71547</v>
      </c>
      <c r="G353" s="114">
        <v>20000</v>
      </c>
      <c r="H353" s="114">
        <f>SUM(E353:G353)</f>
        <v>152787</v>
      </c>
      <c r="I353" s="43">
        <v>61174</v>
      </c>
      <c r="J353" s="43">
        <v>71544</v>
      </c>
      <c r="K353" s="43">
        <v>19867</v>
      </c>
      <c r="L353" s="78">
        <f>SUM(I353:K353)</f>
        <v>152585</v>
      </c>
      <c r="M353" s="114">
        <f t="shared" ref="M353:O355" si="211">+E353-I353</f>
        <v>66</v>
      </c>
      <c r="N353" s="115">
        <f t="shared" si="211"/>
        <v>3</v>
      </c>
      <c r="O353" s="114">
        <f t="shared" si="211"/>
        <v>133</v>
      </c>
      <c r="P353" s="116">
        <f>SUM(M353:O353)</f>
        <v>202</v>
      </c>
      <c r="Q353" s="106"/>
    </row>
    <row r="354" spans="1:17" ht="12.75" customHeight="1">
      <c r="A354" s="113" t="s">
        <v>17</v>
      </c>
      <c r="B354" s="114"/>
      <c r="C354" s="114"/>
      <c r="D354" s="114">
        <f>+B354+C354</f>
        <v>0</v>
      </c>
      <c r="E354" s="114">
        <v>8456</v>
      </c>
      <c r="F354" s="114"/>
      <c r="G354" s="114"/>
      <c r="H354" s="114">
        <f>SUM(E354:G354)</f>
        <v>8456</v>
      </c>
      <c r="I354" s="43">
        <v>8351</v>
      </c>
      <c r="J354" s="43"/>
      <c r="K354" s="43"/>
      <c r="L354" s="78">
        <f>SUM(I354:K354)</f>
        <v>8351</v>
      </c>
      <c r="M354" s="114">
        <f t="shared" si="211"/>
        <v>105</v>
      </c>
      <c r="N354" s="115">
        <f t="shared" si="211"/>
        <v>0</v>
      </c>
      <c r="O354" s="114">
        <f t="shared" si="211"/>
        <v>0</v>
      </c>
      <c r="P354" s="116">
        <f>SUM(M354:O354)</f>
        <v>105</v>
      </c>
      <c r="Q354" s="106"/>
    </row>
    <row r="355" spans="1:17" ht="12.75" customHeight="1">
      <c r="A355" s="113" t="s">
        <v>18</v>
      </c>
      <c r="B355" s="114">
        <v>5532</v>
      </c>
      <c r="C355" s="114"/>
      <c r="D355" s="114">
        <f>+B355+C355</f>
        <v>5532</v>
      </c>
      <c r="E355" s="114">
        <v>5856</v>
      </c>
      <c r="F355" s="114"/>
      <c r="G355" s="114"/>
      <c r="H355" s="114">
        <f>SUM(E355:G355)</f>
        <v>5856</v>
      </c>
      <c r="I355" s="43">
        <v>4932</v>
      </c>
      <c r="J355" s="43"/>
      <c r="K355" s="43"/>
      <c r="L355" s="78">
        <f>SUM(I355:K355)</f>
        <v>4932</v>
      </c>
      <c r="M355" s="114">
        <f t="shared" si="211"/>
        <v>924</v>
      </c>
      <c r="N355" s="115">
        <f t="shared" si="211"/>
        <v>0</v>
      </c>
      <c r="O355" s="114">
        <f t="shared" si="211"/>
        <v>0</v>
      </c>
      <c r="P355" s="116">
        <f>SUM(M355:O355)</f>
        <v>924</v>
      </c>
      <c r="Q355" s="106"/>
    </row>
    <row r="356" spans="1:17" ht="12.75" customHeight="1">
      <c r="A356" s="113" t="s">
        <v>19</v>
      </c>
      <c r="B356" s="102">
        <f>SUM(B357:B358)</f>
        <v>0</v>
      </c>
      <c r="C356" s="102">
        <f>SUM(C357:C358)</f>
        <v>0</v>
      </c>
      <c r="D356" s="102">
        <f>SUM(D357:D358)</f>
        <v>0</v>
      </c>
      <c r="E356" s="102">
        <f t="shared" ref="E356:P356" si="212">SUM(E357:E358)</f>
        <v>0</v>
      </c>
      <c r="F356" s="102">
        <f t="shared" si="212"/>
        <v>0</v>
      </c>
      <c r="G356" s="102">
        <f t="shared" si="212"/>
        <v>0</v>
      </c>
      <c r="H356" s="102">
        <f t="shared" si="212"/>
        <v>0</v>
      </c>
      <c r="I356" s="45">
        <f>SUM(I357:I358)</f>
        <v>0</v>
      </c>
      <c r="J356" s="45">
        <f>SUM(J357:J358)</f>
        <v>0</v>
      </c>
      <c r="K356" s="45">
        <f>SUM(K357:K358)</f>
        <v>0</v>
      </c>
      <c r="L356" s="103">
        <f>SUM(L357:L358)</f>
        <v>0</v>
      </c>
      <c r="M356" s="102">
        <f t="shared" si="212"/>
        <v>0</v>
      </c>
      <c r="N356" s="104">
        <f t="shared" si="212"/>
        <v>0</v>
      </c>
      <c r="O356" s="102">
        <f t="shared" si="212"/>
        <v>0</v>
      </c>
      <c r="P356" s="105">
        <f t="shared" si="212"/>
        <v>0</v>
      </c>
      <c r="Q356" s="106"/>
    </row>
    <row r="357" spans="1:17" ht="12.75" customHeight="1">
      <c r="A357" s="113" t="s">
        <v>20</v>
      </c>
      <c r="B357" s="114"/>
      <c r="C357" s="114">
        <f>+H357</f>
        <v>0</v>
      </c>
      <c r="D357" s="114">
        <f>+B357+C357</f>
        <v>0</v>
      </c>
      <c r="E357" s="114"/>
      <c r="F357" s="114"/>
      <c r="G357" s="114"/>
      <c r="H357" s="114">
        <f>SUM(E357:G357)</f>
        <v>0</v>
      </c>
      <c r="I357" s="43"/>
      <c r="J357" s="43"/>
      <c r="K357" s="43"/>
      <c r="L357" s="78">
        <f>SUM(I357:K357)</f>
        <v>0</v>
      </c>
      <c r="M357" s="114">
        <f t="shared" ref="M357:O358" si="213">+E357-I357</f>
        <v>0</v>
      </c>
      <c r="N357" s="115">
        <f t="shared" si="213"/>
        <v>0</v>
      </c>
      <c r="O357" s="114">
        <f t="shared" si="213"/>
        <v>0</v>
      </c>
      <c r="P357" s="116">
        <f>SUM(M357:O357)</f>
        <v>0</v>
      </c>
      <c r="Q357" s="106"/>
    </row>
    <row r="358" spans="1:17" ht="12.75" customHeight="1">
      <c r="A358" s="113" t="s">
        <v>21</v>
      </c>
      <c r="B358" s="114"/>
      <c r="C358" s="114"/>
      <c r="D358" s="114">
        <f>+B358+C358</f>
        <v>0</v>
      </c>
      <c r="E358" s="114"/>
      <c r="F358" s="114"/>
      <c r="G358" s="114"/>
      <c r="H358" s="114">
        <f>SUM(E358:G358)</f>
        <v>0</v>
      </c>
      <c r="I358" s="43"/>
      <c r="J358" s="43"/>
      <c r="K358" s="43"/>
      <c r="L358" s="78">
        <f>SUM(I358:K358)</f>
        <v>0</v>
      </c>
      <c r="M358" s="114">
        <f t="shared" si="213"/>
        <v>0</v>
      </c>
      <c r="N358" s="115">
        <f t="shared" si="213"/>
        <v>0</v>
      </c>
      <c r="O358" s="114">
        <f t="shared" si="213"/>
        <v>0</v>
      </c>
      <c r="P358" s="116">
        <f>SUM(M358:O358)</f>
        <v>0</v>
      </c>
      <c r="Q358" s="106"/>
    </row>
    <row r="359" spans="1:17" ht="12.75" customHeight="1">
      <c r="A359" s="225"/>
      <c r="B359" s="226"/>
      <c r="C359" s="226"/>
      <c r="D359" s="226"/>
      <c r="E359" s="102"/>
      <c r="F359" s="102"/>
      <c r="G359" s="102"/>
      <c r="H359" s="102"/>
      <c r="I359" s="45"/>
      <c r="J359" s="45"/>
      <c r="K359" s="45"/>
      <c r="L359" s="103"/>
      <c r="M359" s="102"/>
      <c r="N359" s="104"/>
      <c r="O359" s="102"/>
      <c r="P359" s="105"/>
      <c r="Q359" s="227"/>
    </row>
    <row r="360" spans="1:17" ht="12.75" customHeight="1">
      <c r="A360" s="120" t="s">
        <v>260</v>
      </c>
      <c r="B360" s="102">
        <f>+B361+B365</f>
        <v>137249</v>
      </c>
      <c r="C360" s="102">
        <f>+C361+C365</f>
        <v>59647</v>
      </c>
      <c r="D360" s="102">
        <f>+D361+D365</f>
        <v>196896</v>
      </c>
      <c r="E360" s="102">
        <f t="shared" ref="E360:P360" si="214">+E361+E365</f>
        <v>157147</v>
      </c>
      <c r="F360" s="102">
        <f t="shared" si="214"/>
        <v>32028</v>
      </c>
      <c r="G360" s="102">
        <f t="shared" si="214"/>
        <v>11175</v>
      </c>
      <c r="H360" s="102">
        <f t="shared" si="214"/>
        <v>200350</v>
      </c>
      <c r="I360" s="45">
        <f t="shared" si="214"/>
        <v>157099</v>
      </c>
      <c r="J360" s="45">
        <f t="shared" si="214"/>
        <v>31959</v>
      </c>
      <c r="K360" s="45">
        <f t="shared" si="214"/>
        <v>10676</v>
      </c>
      <c r="L360" s="103">
        <f t="shared" si="214"/>
        <v>199734</v>
      </c>
      <c r="M360" s="102">
        <f t="shared" si="214"/>
        <v>48</v>
      </c>
      <c r="N360" s="104">
        <f t="shared" si="214"/>
        <v>69</v>
      </c>
      <c r="O360" s="102">
        <f t="shared" si="214"/>
        <v>499</v>
      </c>
      <c r="P360" s="105">
        <f t="shared" si="214"/>
        <v>616</v>
      </c>
      <c r="Q360" s="106">
        <f>+L360/H360</f>
        <v>0.99692538058397806</v>
      </c>
    </row>
    <row r="361" spans="1:17" ht="12.75" customHeight="1">
      <c r="A361" s="127" t="s">
        <v>15</v>
      </c>
      <c r="B361" s="108">
        <f>SUM(B362:B364)</f>
        <v>137249</v>
      </c>
      <c r="C361" s="108">
        <f>SUM(C362:C364)</f>
        <v>59647</v>
      </c>
      <c r="D361" s="108">
        <f>SUM(D362:D364)</f>
        <v>196896</v>
      </c>
      <c r="E361" s="108">
        <f t="shared" ref="E361:P361" si="215">SUM(E362:E364)</f>
        <v>157147</v>
      </c>
      <c r="F361" s="108">
        <f t="shared" si="215"/>
        <v>32028</v>
      </c>
      <c r="G361" s="108">
        <f t="shared" si="215"/>
        <v>11175</v>
      </c>
      <c r="H361" s="108">
        <f t="shared" si="215"/>
        <v>200350</v>
      </c>
      <c r="I361" s="109">
        <f>SUM(I362:I364)</f>
        <v>157099</v>
      </c>
      <c r="J361" s="109">
        <f>SUM(J362:J364)</f>
        <v>31959</v>
      </c>
      <c r="K361" s="109">
        <f>SUM(K362:K364)</f>
        <v>10676</v>
      </c>
      <c r="L361" s="110">
        <f>SUM(L362:L364)</f>
        <v>199734</v>
      </c>
      <c r="M361" s="108">
        <f t="shared" si="215"/>
        <v>48</v>
      </c>
      <c r="N361" s="111">
        <f t="shared" si="215"/>
        <v>69</v>
      </c>
      <c r="O361" s="108">
        <f t="shared" si="215"/>
        <v>499</v>
      </c>
      <c r="P361" s="112">
        <f t="shared" si="215"/>
        <v>616</v>
      </c>
      <c r="Q361" s="106"/>
    </row>
    <row r="362" spans="1:17" ht="12.75" customHeight="1">
      <c r="A362" s="113" t="s">
        <v>16</v>
      </c>
      <c r="B362" s="114">
        <v>127881</v>
      </c>
      <c r="C362" s="114">
        <v>11175</v>
      </c>
      <c r="D362" s="114">
        <f>+B362+C362</f>
        <v>139056</v>
      </c>
      <c r="E362" s="114">
        <v>99307</v>
      </c>
      <c r="F362" s="114">
        <v>32028</v>
      </c>
      <c r="G362" s="114">
        <v>11175</v>
      </c>
      <c r="H362" s="114">
        <f>SUM(E362:G362)</f>
        <v>142510</v>
      </c>
      <c r="I362" s="43">
        <v>99280</v>
      </c>
      <c r="J362" s="43">
        <v>31959</v>
      </c>
      <c r="K362" s="43">
        <v>10676</v>
      </c>
      <c r="L362" s="78">
        <f>SUM(I362:K362)</f>
        <v>141915</v>
      </c>
      <c r="M362" s="114">
        <f t="shared" ref="M362:O364" si="216">+E362-I362</f>
        <v>27</v>
      </c>
      <c r="N362" s="115">
        <f t="shared" si="216"/>
        <v>69</v>
      </c>
      <c r="O362" s="114">
        <f t="shared" si="216"/>
        <v>499</v>
      </c>
      <c r="P362" s="116">
        <f>SUM(M362:O362)</f>
        <v>595</v>
      </c>
      <c r="Q362" s="106"/>
    </row>
    <row r="363" spans="1:17" ht="12.75" customHeight="1">
      <c r="A363" s="113" t="s">
        <v>17</v>
      </c>
      <c r="B363" s="114"/>
      <c r="C363" s="114">
        <f>+H363</f>
        <v>48472</v>
      </c>
      <c r="D363" s="114">
        <f>+B363+C363</f>
        <v>48472</v>
      </c>
      <c r="E363" s="114">
        <v>48472</v>
      </c>
      <c r="F363" s="114"/>
      <c r="G363" s="114"/>
      <c r="H363" s="114">
        <f>SUM(E363:G363)</f>
        <v>48472</v>
      </c>
      <c r="I363" s="43">
        <v>48471</v>
      </c>
      <c r="J363" s="43"/>
      <c r="K363" s="43"/>
      <c r="L363" s="78">
        <f>SUM(I363:K363)</f>
        <v>48471</v>
      </c>
      <c r="M363" s="114">
        <f t="shared" si="216"/>
        <v>1</v>
      </c>
      <c r="N363" s="115">
        <f t="shared" si="216"/>
        <v>0</v>
      </c>
      <c r="O363" s="114">
        <f t="shared" si="216"/>
        <v>0</v>
      </c>
      <c r="P363" s="116">
        <f>SUM(M363:O363)</f>
        <v>1</v>
      </c>
      <c r="Q363" s="106"/>
    </row>
    <row r="364" spans="1:17" ht="12.75" customHeight="1">
      <c r="A364" s="113" t="s">
        <v>18</v>
      </c>
      <c r="B364" s="114">
        <v>9368</v>
      </c>
      <c r="C364" s="114"/>
      <c r="D364" s="114">
        <f>+B364+C364</f>
        <v>9368</v>
      </c>
      <c r="E364" s="114">
        <v>9368</v>
      </c>
      <c r="F364" s="114"/>
      <c r="G364" s="114"/>
      <c r="H364" s="114">
        <f>SUM(E364:G364)</f>
        <v>9368</v>
      </c>
      <c r="I364" s="43">
        <v>9348</v>
      </c>
      <c r="J364" s="43"/>
      <c r="K364" s="43"/>
      <c r="L364" s="78">
        <f>SUM(I364:K364)</f>
        <v>9348</v>
      </c>
      <c r="M364" s="114">
        <f t="shared" si="216"/>
        <v>20</v>
      </c>
      <c r="N364" s="115">
        <f t="shared" si="216"/>
        <v>0</v>
      </c>
      <c r="O364" s="114">
        <f t="shared" si="216"/>
        <v>0</v>
      </c>
      <c r="P364" s="116">
        <f>SUM(M364:O364)</f>
        <v>20</v>
      </c>
      <c r="Q364" s="106"/>
    </row>
    <row r="365" spans="1:17" ht="12.75" customHeight="1">
      <c r="A365" s="113" t="s">
        <v>19</v>
      </c>
      <c r="B365" s="102">
        <f>SUM(B366:B367)</f>
        <v>0</v>
      </c>
      <c r="C365" s="102">
        <f>SUM(C366:C367)</f>
        <v>0</v>
      </c>
      <c r="D365" s="102">
        <f>SUM(D366:D367)</f>
        <v>0</v>
      </c>
      <c r="E365" s="102">
        <f t="shared" ref="E365:P365" si="217">SUM(E366:E367)</f>
        <v>0</v>
      </c>
      <c r="F365" s="102">
        <f t="shared" si="217"/>
        <v>0</v>
      </c>
      <c r="G365" s="102">
        <f t="shared" si="217"/>
        <v>0</v>
      </c>
      <c r="H365" s="102">
        <f t="shared" si="217"/>
        <v>0</v>
      </c>
      <c r="I365" s="45">
        <f>SUM(I366:I367)</f>
        <v>0</v>
      </c>
      <c r="J365" s="45">
        <f>SUM(J366:J367)</f>
        <v>0</v>
      </c>
      <c r="K365" s="45">
        <f>SUM(K366:K367)</f>
        <v>0</v>
      </c>
      <c r="L365" s="103">
        <f>SUM(L366:L367)</f>
        <v>0</v>
      </c>
      <c r="M365" s="102">
        <f t="shared" si="217"/>
        <v>0</v>
      </c>
      <c r="N365" s="104">
        <f t="shared" si="217"/>
        <v>0</v>
      </c>
      <c r="O365" s="102">
        <f t="shared" si="217"/>
        <v>0</v>
      </c>
      <c r="P365" s="105">
        <f t="shared" si="217"/>
        <v>0</v>
      </c>
      <c r="Q365" s="106"/>
    </row>
    <row r="366" spans="1:17" ht="12.75" customHeight="1">
      <c r="A366" s="113" t="s">
        <v>20</v>
      </c>
      <c r="B366" s="114"/>
      <c r="C366" s="114"/>
      <c r="D366" s="114">
        <f>+B366+C366</f>
        <v>0</v>
      </c>
      <c r="E366" s="114"/>
      <c r="F366" s="114"/>
      <c r="G366" s="114"/>
      <c r="H366" s="114">
        <f>SUM(E366:G366)</f>
        <v>0</v>
      </c>
      <c r="I366" s="43"/>
      <c r="J366" s="43"/>
      <c r="K366" s="43"/>
      <c r="L366" s="78">
        <f>SUM(I366:K366)</f>
        <v>0</v>
      </c>
      <c r="M366" s="114">
        <f t="shared" ref="M366:O367" si="218">+E366-I366</f>
        <v>0</v>
      </c>
      <c r="N366" s="115">
        <f t="shared" si="218"/>
        <v>0</v>
      </c>
      <c r="O366" s="114">
        <f t="shared" si="218"/>
        <v>0</v>
      </c>
      <c r="P366" s="116">
        <f>SUM(M366:O366)</f>
        <v>0</v>
      </c>
      <c r="Q366" s="106"/>
    </row>
    <row r="367" spans="1:17" ht="12.75" customHeight="1">
      <c r="A367" s="113" t="s">
        <v>21</v>
      </c>
      <c r="B367" s="114"/>
      <c r="C367" s="114">
        <f>+H367</f>
        <v>0</v>
      </c>
      <c r="D367" s="114">
        <f>+B367+C367</f>
        <v>0</v>
      </c>
      <c r="E367" s="114"/>
      <c r="F367" s="114"/>
      <c r="G367" s="114"/>
      <c r="H367" s="114">
        <f>SUM(E367:G367)</f>
        <v>0</v>
      </c>
      <c r="I367" s="43"/>
      <c r="J367" s="43"/>
      <c r="K367" s="43"/>
      <c r="L367" s="78">
        <f>SUM(I367:K367)</f>
        <v>0</v>
      </c>
      <c r="M367" s="114">
        <f t="shared" si="218"/>
        <v>0</v>
      </c>
      <c r="N367" s="115">
        <f t="shared" si="218"/>
        <v>0</v>
      </c>
      <c r="O367" s="114">
        <f t="shared" si="218"/>
        <v>0</v>
      </c>
      <c r="P367" s="116">
        <f>SUM(M367:O367)</f>
        <v>0</v>
      </c>
      <c r="Q367" s="106"/>
    </row>
    <row r="368" spans="1:17" ht="12.75" customHeight="1">
      <c r="A368" s="121"/>
      <c r="B368" s="122"/>
      <c r="C368" s="122"/>
      <c r="D368" s="122"/>
      <c r="E368" s="114"/>
      <c r="F368" s="114"/>
      <c r="G368" s="114"/>
      <c r="H368" s="114"/>
      <c r="I368" s="43"/>
      <c r="J368" s="43"/>
      <c r="K368" s="43"/>
      <c r="L368" s="78"/>
      <c r="M368" s="114"/>
      <c r="N368" s="115"/>
      <c r="O368" s="114"/>
      <c r="P368" s="116"/>
      <c r="Q368" s="106"/>
    </row>
    <row r="369" spans="1:17" ht="12.75" customHeight="1">
      <c r="A369" s="120" t="s">
        <v>261</v>
      </c>
      <c r="B369" s="102">
        <f>+B370+B374</f>
        <v>148108</v>
      </c>
      <c r="C369" s="102">
        <f>+C370+C374</f>
        <v>39070</v>
      </c>
      <c r="D369" s="102">
        <f>+D370+D374</f>
        <v>187178</v>
      </c>
      <c r="E369" s="102">
        <f t="shared" ref="E369:P369" si="219">+E370+E374</f>
        <v>146420</v>
      </c>
      <c r="F369" s="102">
        <f t="shared" si="219"/>
        <v>28744</v>
      </c>
      <c r="G369" s="102">
        <f t="shared" si="219"/>
        <v>24246</v>
      </c>
      <c r="H369" s="102">
        <f t="shared" si="219"/>
        <v>199410</v>
      </c>
      <c r="I369" s="45">
        <f t="shared" si="219"/>
        <v>146182</v>
      </c>
      <c r="J369" s="45">
        <f t="shared" si="219"/>
        <v>27277</v>
      </c>
      <c r="K369" s="45">
        <f t="shared" si="219"/>
        <v>18065</v>
      </c>
      <c r="L369" s="103">
        <f t="shared" si="219"/>
        <v>191524</v>
      </c>
      <c r="M369" s="102">
        <f t="shared" si="219"/>
        <v>238</v>
      </c>
      <c r="N369" s="104">
        <f t="shared" si="219"/>
        <v>1467</v>
      </c>
      <c r="O369" s="102">
        <f t="shared" si="219"/>
        <v>6181</v>
      </c>
      <c r="P369" s="105">
        <f t="shared" si="219"/>
        <v>7886</v>
      </c>
      <c r="Q369" s="106">
        <f>+L369/H369</f>
        <v>0.96045333734516825</v>
      </c>
    </row>
    <row r="370" spans="1:17" ht="12.75" customHeight="1">
      <c r="A370" s="127" t="s">
        <v>15</v>
      </c>
      <c r="B370" s="108">
        <f>SUM(B371:B373)</f>
        <v>148108</v>
      </c>
      <c r="C370" s="108">
        <f>SUM(C371:C373)</f>
        <v>39070</v>
      </c>
      <c r="D370" s="108">
        <f>SUM(D371:D373)</f>
        <v>187178</v>
      </c>
      <c r="E370" s="108">
        <f t="shared" ref="E370:P370" si="220">SUM(E371:E373)</f>
        <v>146420</v>
      </c>
      <c r="F370" s="108">
        <f t="shared" si="220"/>
        <v>28744</v>
      </c>
      <c r="G370" s="108">
        <f t="shared" si="220"/>
        <v>24246</v>
      </c>
      <c r="H370" s="108">
        <f t="shared" si="220"/>
        <v>199410</v>
      </c>
      <c r="I370" s="109">
        <f>SUM(I371:I373)</f>
        <v>146182</v>
      </c>
      <c r="J370" s="109">
        <f>SUM(J371:J373)</f>
        <v>27277</v>
      </c>
      <c r="K370" s="109">
        <f>SUM(K371:K373)</f>
        <v>18065</v>
      </c>
      <c r="L370" s="110">
        <f>SUM(L371:L373)</f>
        <v>191524</v>
      </c>
      <c r="M370" s="108">
        <f t="shared" si="220"/>
        <v>238</v>
      </c>
      <c r="N370" s="111">
        <f t="shared" si="220"/>
        <v>1467</v>
      </c>
      <c r="O370" s="108">
        <f t="shared" si="220"/>
        <v>6181</v>
      </c>
      <c r="P370" s="112">
        <f t="shared" si="220"/>
        <v>7886</v>
      </c>
      <c r="Q370" s="106"/>
    </row>
    <row r="371" spans="1:17" ht="12.75" customHeight="1">
      <c r="A371" s="113" t="s">
        <v>16</v>
      </c>
      <c r="B371" s="114">
        <v>139099</v>
      </c>
      <c r="C371" s="114"/>
      <c r="D371" s="114">
        <f>+B371+C371</f>
        <v>139099</v>
      </c>
      <c r="E371" s="114">
        <v>97765</v>
      </c>
      <c r="F371" s="114">
        <v>28744</v>
      </c>
      <c r="G371" s="114">
        <v>24246</v>
      </c>
      <c r="H371" s="114">
        <f>SUM(E371:G371)</f>
        <v>150755</v>
      </c>
      <c r="I371" s="43">
        <v>97765</v>
      </c>
      <c r="J371" s="43">
        <v>27277</v>
      </c>
      <c r="K371" s="43">
        <v>18065</v>
      </c>
      <c r="L371" s="78">
        <f>SUM(I371:K371)</f>
        <v>143107</v>
      </c>
      <c r="M371" s="114">
        <f t="shared" ref="M371:O373" si="221">+E371-I371</f>
        <v>0</v>
      </c>
      <c r="N371" s="115">
        <f t="shared" si="221"/>
        <v>1467</v>
      </c>
      <c r="O371" s="114">
        <f t="shared" si="221"/>
        <v>6181</v>
      </c>
      <c r="P371" s="116">
        <f>SUM(M371:O371)</f>
        <v>7648</v>
      </c>
      <c r="Q371" s="106"/>
    </row>
    <row r="372" spans="1:17" ht="12.75" customHeight="1">
      <c r="A372" s="113" t="s">
        <v>17</v>
      </c>
      <c r="B372" s="114"/>
      <c r="C372" s="114">
        <f>+H372</f>
        <v>39070</v>
      </c>
      <c r="D372" s="114">
        <f>+B372+C372</f>
        <v>39070</v>
      </c>
      <c r="E372" s="114">
        <v>39070</v>
      </c>
      <c r="F372" s="114"/>
      <c r="G372" s="114"/>
      <c r="H372" s="114">
        <f>SUM(E372:G372)</f>
        <v>39070</v>
      </c>
      <c r="I372" s="43">
        <v>39063</v>
      </c>
      <c r="J372" s="43"/>
      <c r="K372" s="43"/>
      <c r="L372" s="78">
        <f>SUM(I372:K372)</f>
        <v>39063</v>
      </c>
      <c r="M372" s="114">
        <f t="shared" si="221"/>
        <v>7</v>
      </c>
      <c r="N372" s="115">
        <f t="shared" si="221"/>
        <v>0</v>
      </c>
      <c r="O372" s="114">
        <f t="shared" si="221"/>
        <v>0</v>
      </c>
      <c r="P372" s="116">
        <f>SUM(M372:O372)</f>
        <v>7</v>
      </c>
      <c r="Q372" s="106"/>
    </row>
    <row r="373" spans="1:17" ht="12.75" customHeight="1">
      <c r="A373" s="113" t="s">
        <v>18</v>
      </c>
      <c r="B373" s="114">
        <v>9009</v>
      </c>
      <c r="C373" s="114"/>
      <c r="D373" s="114">
        <f>+B373+C373</f>
        <v>9009</v>
      </c>
      <c r="E373" s="114">
        <v>9585</v>
      </c>
      <c r="F373" s="114"/>
      <c r="G373" s="114"/>
      <c r="H373" s="114">
        <f>SUM(E373:G373)</f>
        <v>9585</v>
      </c>
      <c r="I373" s="43">
        <v>9354</v>
      </c>
      <c r="J373" s="43"/>
      <c r="K373" s="43"/>
      <c r="L373" s="78">
        <f>SUM(I373:K373)</f>
        <v>9354</v>
      </c>
      <c r="M373" s="114">
        <f t="shared" si="221"/>
        <v>231</v>
      </c>
      <c r="N373" s="115">
        <f t="shared" si="221"/>
        <v>0</v>
      </c>
      <c r="O373" s="114">
        <f t="shared" si="221"/>
        <v>0</v>
      </c>
      <c r="P373" s="116">
        <f>SUM(M373:O373)</f>
        <v>231</v>
      </c>
      <c r="Q373" s="106"/>
    </row>
    <row r="374" spans="1:17" ht="12.75" customHeight="1">
      <c r="A374" s="113" t="s">
        <v>19</v>
      </c>
      <c r="B374" s="102">
        <f>SUM(B375:B376)</f>
        <v>0</v>
      </c>
      <c r="C374" s="102">
        <f>SUM(C375:C376)</f>
        <v>0</v>
      </c>
      <c r="D374" s="102">
        <f>SUM(D375:D376)</f>
        <v>0</v>
      </c>
      <c r="E374" s="102">
        <f t="shared" ref="E374:P374" si="222">SUM(E375:E376)</f>
        <v>0</v>
      </c>
      <c r="F374" s="102">
        <f t="shared" si="222"/>
        <v>0</v>
      </c>
      <c r="G374" s="102">
        <f t="shared" si="222"/>
        <v>0</v>
      </c>
      <c r="H374" s="102">
        <f t="shared" si="222"/>
        <v>0</v>
      </c>
      <c r="I374" s="45">
        <f>SUM(I375:I376)</f>
        <v>0</v>
      </c>
      <c r="J374" s="45">
        <f>SUM(J375:J376)</f>
        <v>0</v>
      </c>
      <c r="K374" s="45">
        <f>SUM(K375:K376)</f>
        <v>0</v>
      </c>
      <c r="L374" s="103">
        <f>SUM(L375:L376)</f>
        <v>0</v>
      </c>
      <c r="M374" s="102">
        <f t="shared" si="222"/>
        <v>0</v>
      </c>
      <c r="N374" s="104">
        <f t="shared" si="222"/>
        <v>0</v>
      </c>
      <c r="O374" s="102">
        <f t="shared" si="222"/>
        <v>0</v>
      </c>
      <c r="P374" s="105">
        <f t="shared" si="222"/>
        <v>0</v>
      </c>
      <c r="Q374" s="106"/>
    </row>
    <row r="375" spans="1:17" ht="12.75" customHeight="1">
      <c r="A375" s="113" t="s">
        <v>20</v>
      </c>
      <c r="B375" s="114"/>
      <c r="C375" s="114">
        <f>+H375</f>
        <v>0</v>
      </c>
      <c r="D375" s="114">
        <f>+B375+C375</f>
        <v>0</v>
      </c>
      <c r="E375" s="114"/>
      <c r="F375" s="114"/>
      <c r="G375" s="114"/>
      <c r="H375" s="114">
        <f>SUM(E375:G375)</f>
        <v>0</v>
      </c>
      <c r="I375" s="43"/>
      <c r="J375" s="43"/>
      <c r="K375" s="43"/>
      <c r="L375" s="78">
        <f>SUM(I375:K375)</f>
        <v>0</v>
      </c>
      <c r="M375" s="114">
        <f t="shared" ref="M375:O376" si="223">+E375-I375</f>
        <v>0</v>
      </c>
      <c r="N375" s="115">
        <f t="shared" si="223"/>
        <v>0</v>
      </c>
      <c r="O375" s="114">
        <f t="shared" si="223"/>
        <v>0</v>
      </c>
      <c r="P375" s="116">
        <f>SUM(M375:O375)</f>
        <v>0</v>
      </c>
      <c r="Q375" s="106"/>
    </row>
    <row r="376" spans="1:17" ht="12.75" customHeight="1">
      <c r="A376" s="113" t="s">
        <v>21</v>
      </c>
      <c r="B376" s="114"/>
      <c r="C376" s="114"/>
      <c r="D376" s="114">
        <f>+B376+C376</f>
        <v>0</v>
      </c>
      <c r="E376" s="114"/>
      <c r="F376" s="114"/>
      <c r="G376" s="114"/>
      <c r="H376" s="114">
        <f>SUM(E376:G376)</f>
        <v>0</v>
      </c>
      <c r="I376" s="43"/>
      <c r="J376" s="43"/>
      <c r="K376" s="43"/>
      <c r="L376" s="78">
        <f>SUM(I376:K376)</f>
        <v>0</v>
      </c>
      <c r="M376" s="114">
        <f t="shared" si="223"/>
        <v>0</v>
      </c>
      <c r="N376" s="115">
        <f t="shared" si="223"/>
        <v>0</v>
      </c>
      <c r="O376" s="114">
        <f t="shared" si="223"/>
        <v>0</v>
      </c>
      <c r="P376" s="116">
        <f>SUM(M376:O376)</f>
        <v>0</v>
      </c>
      <c r="Q376" s="106"/>
    </row>
    <row r="377" spans="1:17" ht="12.75" customHeight="1">
      <c r="A377" s="121"/>
      <c r="B377" s="122"/>
      <c r="C377" s="122"/>
      <c r="D377" s="122"/>
      <c r="E377" s="114"/>
      <c r="F377" s="114"/>
      <c r="G377" s="114"/>
      <c r="H377" s="114"/>
      <c r="I377" s="43"/>
      <c r="J377" s="43"/>
      <c r="K377" s="43"/>
      <c r="L377" s="78"/>
      <c r="M377" s="114"/>
      <c r="N377" s="115"/>
      <c r="O377" s="114"/>
      <c r="P377" s="116"/>
      <c r="Q377" s="106"/>
    </row>
    <row r="378" spans="1:17" ht="12.75" customHeight="1">
      <c r="A378" s="120" t="s">
        <v>262</v>
      </c>
      <c r="B378" s="102">
        <f>+B379+B383</f>
        <v>214273</v>
      </c>
      <c r="C378" s="102">
        <f>+C379+C383</f>
        <v>41330</v>
      </c>
      <c r="D378" s="102">
        <f>+D379+D383</f>
        <v>255603</v>
      </c>
      <c r="E378" s="102">
        <f t="shared" ref="E378:P378" si="224">+E379+E383</f>
        <v>162370</v>
      </c>
      <c r="F378" s="102">
        <f t="shared" si="224"/>
        <v>68758</v>
      </c>
      <c r="G378" s="102">
        <f t="shared" si="224"/>
        <v>24852</v>
      </c>
      <c r="H378" s="102">
        <f t="shared" si="224"/>
        <v>255980</v>
      </c>
      <c r="I378" s="45">
        <f t="shared" si="224"/>
        <v>161716</v>
      </c>
      <c r="J378" s="45">
        <f t="shared" si="224"/>
        <v>64514</v>
      </c>
      <c r="K378" s="45">
        <f t="shared" si="224"/>
        <v>16840</v>
      </c>
      <c r="L378" s="103">
        <f t="shared" si="224"/>
        <v>243070</v>
      </c>
      <c r="M378" s="102">
        <f t="shared" si="224"/>
        <v>654</v>
      </c>
      <c r="N378" s="104">
        <f t="shared" si="224"/>
        <v>4244</v>
      </c>
      <c r="O378" s="102">
        <f t="shared" si="224"/>
        <v>8012</v>
      </c>
      <c r="P378" s="105">
        <f t="shared" si="224"/>
        <v>12910</v>
      </c>
      <c r="Q378" s="106">
        <f>+L378/H378</f>
        <v>0.94956637237284158</v>
      </c>
    </row>
    <row r="379" spans="1:17" ht="12.75" customHeight="1">
      <c r="A379" s="127" t="s">
        <v>15</v>
      </c>
      <c r="B379" s="108">
        <f>SUM(B380:B382)</f>
        <v>214273</v>
      </c>
      <c r="C379" s="108">
        <f>SUM(C380:C382)</f>
        <v>41330</v>
      </c>
      <c r="D379" s="108">
        <f>SUM(D380:D382)</f>
        <v>255603</v>
      </c>
      <c r="E379" s="108">
        <f t="shared" ref="E379:P379" si="225">SUM(E380:E382)</f>
        <v>162370</v>
      </c>
      <c r="F379" s="108">
        <f t="shared" si="225"/>
        <v>68758</v>
      </c>
      <c r="G379" s="108">
        <f t="shared" si="225"/>
        <v>24852</v>
      </c>
      <c r="H379" s="108">
        <f t="shared" si="225"/>
        <v>255980</v>
      </c>
      <c r="I379" s="109">
        <f>SUM(I380:I382)</f>
        <v>161716</v>
      </c>
      <c r="J379" s="109">
        <f>SUM(J380:J382)</f>
        <v>64514</v>
      </c>
      <c r="K379" s="109">
        <f>SUM(K380:K382)</f>
        <v>16840</v>
      </c>
      <c r="L379" s="110">
        <f>SUM(L380:L382)</f>
        <v>243070</v>
      </c>
      <c r="M379" s="108">
        <f t="shared" si="225"/>
        <v>654</v>
      </c>
      <c r="N379" s="111">
        <f t="shared" si="225"/>
        <v>4244</v>
      </c>
      <c r="O379" s="108">
        <f t="shared" si="225"/>
        <v>8012</v>
      </c>
      <c r="P379" s="112">
        <f t="shared" si="225"/>
        <v>12910</v>
      </c>
      <c r="Q379" s="106"/>
    </row>
    <row r="380" spans="1:17" ht="12.75" customHeight="1">
      <c r="A380" s="113" t="s">
        <v>16</v>
      </c>
      <c r="B380" s="114">
        <v>201347</v>
      </c>
      <c r="C380" s="114">
        <v>24852</v>
      </c>
      <c r="D380" s="114">
        <f>+B380+C380</f>
        <v>226199</v>
      </c>
      <c r="E380" s="114">
        <v>132589</v>
      </c>
      <c r="F380" s="114">
        <v>68758</v>
      </c>
      <c r="G380" s="114">
        <v>24852</v>
      </c>
      <c r="H380" s="114">
        <f>SUM(E380:G380)</f>
        <v>226199</v>
      </c>
      <c r="I380" s="43">
        <v>132478</v>
      </c>
      <c r="J380" s="43">
        <v>64514</v>
      </c>
      <c r="K380" s="43">
        <v>16840</v>
      </c>
      <c r="L380" s="78">
        <f>SUM(I380:K380)</f>
        <v>213832</v>
      </c>
      <c r="M380" s="114">
        <f t="shared" ref="M380:O382" si="226">+E380-I380</f>
        <v>111</v>
      </c>
      <c r="N380" s="115">
        <f t="shared" si="226"/>
        <v>4244</v>
      </c>
      <c r="O380" s="114">
        <f t="shared" si="226"/>
        <v>8012</v>
      </c>
      <c r="P380" s="116">
        <f>SUM(M380:O380)</f>
        <v>12367</v>
      </c>
      <c r="Q380" s="106"/>
    </row>
    <row r="381" spans="1:17" ht="12.75" customHeight="1">
      <c r="A381" s="113" t="s">
        <v>17</v>
      </c>
      <c r="B381" s="114"/>
      <c r="C381" s="114">
        <f>+H381</f>
        <v>16478</v>
      </c>
      <c r="D381" s="114">
        <f>+B381+C381</f>
        <v>16478</v>
      </c>
      <c r="E381" s="114">
        <v>16478</v>
      </c>
      <c r="F381" s="114"/>
      <c r="G381" s="114"/>
      <c r="H381" s="114">
        <f>SUM(E381:G381)</f>
        <v>16478</v>
      </c>
      <c r="I381" s="43">
        <v>16478</v>
      </c>
      <c r="J381" s="43"/>
      <c r="K381" s="43"/>
      <c r="L381" s="78">
        <f>SUM(I381:K381)</f>
        <v>16478</v>
      </c>
      <c r="M381" s="114">
        <f t="shared" si="226"/>
        <v>0</v>
      </c>
      <c r="N381" s="115">
        <f t="shared" si="226"/>
        <v>0</v>
      </c>
      <c r="O381" s="114">
        <f t="shared" si="226"/>
        <v>0</v>
      </c>
      <c r="P381" s="116">
        <f>SUM(M381:O381)</f>
        <v>0</v>
      </c>
      <c r="Q381" s="106"/>
    </row>
    <row r="382" spans="1:17" ht="12.75" customHeight="1">
      <c r="A382" s="113" t="s">
        <v>18</v>
      </c>
      <c r="B382" s="114">
        <v>12926</v>
      </c>
      <c r="C382" s="114"/>
      <c r="D382" s="114">
        <f>+B382+C382</f>
        <v>12926</v>
      </c>
      <c r="E382" s="114">
        <v>13303</v>
      </c>
      <c r="F382" s="114"/>
      <c r="G382" s="114"/>
      <c r="H382" s="114">
        <f>SUM(E382:G382)</f>
        <v>13303</v>
      </c>
      <c r="I382" s="43">
        <v>12760</v>
      </c>
      <c r="J382" s="43"/>
      <c r="K382" s="43"/>
      <c r="L382" s="78">
        <f>SUM(I382:K382)</f>
        <v>12760</v>
      </c>
      <c r="M382" s="114">
        <f t="shared" si="226"/>
        <v>543</v>
      </c>
      <c r="N382" s="115">
        <f t="shared" si="226"/>
        <v>0</v>
      </c>
      <c r="O382" s="114">
        <f t="shared" si="226"/>
        <v>0</v>
      </c>
      <c r="P382" s="116">
        <f>SUM(M382:O382)</f>
        <v>543</v>
      </c>
      <c r="Q382" s="106"/>
    </row>
    <row r="383" spans="1:17" ht="12.75" customHeight="1">
      <c r="A383" s="113" t="s">
        <v>19</v>
      </c>
      <c r="B383" s="102">
        <f>SUM(B384:B385)</f>
        <v>0</v>
      </c>
      <c r="C383" s="102">
        <f>SUM(C384:C385)</f>
        <v>0</v>
      </c>
      <c r="D383" s="102">
        <f>SUM(D384:D385)</f>
        <v>0</v>
      </c>
      <c r="E383" s="102">
        <f t="shared" ref="E383:P383" si="227">SUM(E384:E385)</f>
        <v>0</v>
      </c>
      <c r="F383" s="102">
        <f t="shared" si="227"/>
        <v>0</v>
      </c>
      <c r="G383" s="102">
        <f t="shared" si="227"/>
        <v>0</v>
      </c>
      <c r="H383" s="102">
        <f t="shared" si="227"/>
        <v>0</v>
      </c>
      <c r="I383" s="45">
        <f>SUM(I384:I385)</f>
        <v>0</v>
      </c>
      <c r="J383" s="45">
        <f>SUM(J384:J385)</f>
        <v>0</v>
      </c>
      <c r="K383" s="45">
        <f>SUM(K384:K385)</f>
        <v>0</v>
      </c>
      <c r="L383" s="103">
        <f>SUM(L384:L385)</f>
        <v>0</v>
      </c>
      <c r="M383" s="102">
        <f t="shared" si="227"/>
        <v>0</v>
      </c>
      <c r="N383" s="104">
        <f t="shared" si="227"/>
        <v>0</v>
      </c>
      <c r="O383" s="102">
        <f t="shared" si="227"/>
        <v>0</v>
      </c>
      <c r="P383" s="105">
        <f t="shared" si="227"/>
        <v>0</v>
      </c>
      <c r="Q383" s="106"/>
    </row>
    <row r="384" spans="1:17" ht="12.75" customHeight="1">
      <c r="A384" s="113" t="s">
        <v>20</v>
      </c>
      <c r="B384" s="114"/>
      <c r="C384" s="114">
        <f>+H384</f>
        <v>0</v>
      </c>
      <c r="D384" s="114">
        <f>+B384+C384</f>
        <v>0</v>
      </c>
      <c r="E384" s="114"/>
      <c r="F384" s="114"/>
      <c r="G384" s="114"/>
      <c r="H384" s="114">
        <f>SUM(E384:G384)</f>
        <v>0</v>
      </c>
      <c r="I384" s="43"/>
      <c r="J384" s="43"/>
      <c r="K384" s="43"/>
      <c r="L384" s="78">
        <f>SUM(I384:K384)</f>
        <v>0</v>
      </c>
      <c r="M384" s="114">
        <f t="shared" ref="M384:O385" si="228">+E384-I384</f>
        <v>0</v>
      </c>
      <c r="N384" s="115">
        <f t="shared" si="228"/>
        <v>0</v>
      </c>
      <c r="O384" s="114">
        <f t="shared" si="228"/>
        <v>0</v>
      </c>
      <c r="P384" s="116">
        <f>SUM(M384:O384)</f>
        <v>0</v>
      </c>
      <c r="Q384" s="106"/>
    </row>
    <row r="385" spans="1:17" ht="12.75" customHeight="1">
      <c r="A385" s="113" t="s">
        <v>21</v>
      </c>
      <c r="B385" s="114"/>
      <c r="C385" s="114">
        <f>+H385</f>
        <v>0</v>
      </c>
      <c r="D385" s="114">
        <f>+B385+C385</f>
        <v>0</v>
      </c>
      <c r="E385" s="114"/>
      <c r="F385" s="114"/>
      <c r="G385" s="114"/>
      <c r="H385" s="114">
        <f>SUM(E385:G385)</f>
        <v>0</v>
      </c>
      <c r="I385" s="43"/>
      <c r="J385" s="43"/>
      <c r="K385" s="43"/>
      <c r="L385" s="78">
        <f>SUM(I385:K385)</f>
        <v>0</v>
      </c>
      <c r="M385" s="114">
        <f t="shared" si="228"/>
        <v>0</v>
      </c>
      <c r="N385" s="115">
        <f t="shared" si="228"/>
        <v>0</v>
      </c>
      <c r="O385" s="114">
        <f t="shared" si="228"/>
        <v>0</v>
      </c>
      <c r="P385" s="116">
        <f>SUM(M385:O385)</f>
        <v>0</v>
      </c>
      <c r="Q385" s="106"/>
    </row>
    <row r="386" spans="1:17" ht="12.75" customHeight="1">
      <c r="A386" s="229"/>
      <c r="B386" s="230"/>
      <c r="C386" s="230"/>
      <c r="D386" s="230"/>
      <c r="E386" s="102"/>
      <c r="F386" s="102"/>
      <c r="G386" s="102"/>
      <c r="H386" s="102"/>
      <c r="I386" s="74"/>
      <c r="J386" s="74"/>
      <c r="K386" s="74"/>
      <c r="L386" s="138"/>
      <c r="M386" s="102"/>
      <c r="N386" s="104"/>
      <c r="O386" s="102"/>
      <c r="P386" s="105"/>
      <c r="Q386" s="227"/>
    </row>
    <row r="387" spans="1:17" ht="12.75" customHeight="1">
      <c r="A387" s="149" t="s">
        <v>263</v>
      </c>
      <c r="B387" s="102">
        <f>+B388+B392</f>
        <v>1460692</v>
      </c>
      <c r="C387" s="102">
        <f>+C388+C392</f>
        <v>71593</v>
      </c>
      <c r="D387" s="102">
        <f>+D388+D392</f>
        <v>1532285</v>
      </c>
      <c r="E387" s="102">
        <f t="shared" ref="E387:P387" si="229">+E388+E392</f>
        <v>1050876</v>
      </c>
      <c r="F387" s="102">
        <f t="shared" si="229"/>
        <v>494207</v>
      </c>
      <c r="G387" s="102">
        <f t="shared" si="229"/>
        <v>137891</v>
      </c>
      <c r="H387" s="102">
        <f t="shared" si="229"/>
        <v>1682974</v>
      </c>
      <c r="I387" s="139">
        <f>+I388+I392</f>
        <v>1048078</v>
      </c>
      <c r="J387" s="139">
        <f>+J388+J392</f>
        <v>469544</v>
      </c>
      <c r="K387" s="139">
        <f>+K388+K392</f>
        <v>58734</v>
      </c>
      <c r="L387" s="139">
        <f>+L388+L392</f>
        <v>1576356</v>
      </c>
      <c r="M387" s="102">
        <f t="shared" si="229"/>
        <v>2798</v>
      </c>
      <c r="N387" s="104">
        <f t="shared" si="229"/>
        <v>24663</v>
      </c>
      <c r="O387" s="102">
        <f t="shared" si="229"/>
        <v>79157</v>
      </c>
      <c r="P387" s="105">
        <f t="shared" si="229"/>
        <v>106618</v>
      </c>
      <c r="Q387" s="106">
        <f>+L387/H387</f>
        <v>0.9366490510251495</v>
      </c>
    </row>
    <row r="388" spans="1:17" ht="12.75" customHeight="1">
      <c r="A388" s="127" t="s">
        <v>15</v>
      </c>
      <c r="B388" s="108">
        <f>SUM(B389:B391)</f>
        <v>1460692</v>
      </c>
      <c r="C388" s="108">
        <f>SUM(C389:C391)</f>
        <v>71593</v>
      </c>
      <c r="D388" s="108">
        <f>SUM(D389:D391)</f>
        <v>1532285</v>
      </c>
      <c r="E388" s="108">
        <f t="shared" ref="E388:P388" si="230">SUM(E389:E391)</f>
        <v>1050876</v>
      </c>
      <c r="F388" s="108">
        <f t="shared" si="230"/>
        <v>494207</v>
      </c>
      <c r="G388" s="108">
        <f t="shared" si="230"/>
        <v>137891</v>
      </c>
      <c r="H388" s="108">
        <f t="shared" si="230"/>
        <v>1682974</v>
      </c>
      <c r="I388" s="141">
        <f>SUM(I389:I391)</f>
        <v>1048078</v>
      </c>
      <c r="J388" s="141">
        <f>SUM(J389:J391)</f>
        <v>469544</v>
      </c>
      <c r="K388" s="141">
        <f>SUM(K389:K391)</f>
        <v>58734</v>
      </c>
      <c r="L388" s="141">
        <f>SUM(L389:L391)</f>
        <v>1576356</v>
      </c>
      <c r="M388" s="108">
        <f t="shared" si="230"/>
        <v>2798</v>
      </c>
      <c r="N388" s="111">
        <f t="shared" si="230"/>
        <v>24663</v>
      </c>
      <c r="O388" s="108">
        <f t="shared" si="230"/>
        <v>79157</v>
      </c>
      <c r="P388" s="112">
        <f t="shared" si="230"/>
        <v>106618</v>
      </c>
      <c r="Q388" s="106"/>
    </row>
    <row r="389" spans="1:17" ht="12.75" customHeight="1">
      <c r="A389" s="113" t="s">
        <v>16</v>
      </c>
      <c r="B389" s="114">
        <f t="shared" ref="B389:G391" si="231">+B398+B407+B416+B425+B434</f>
        <v>1377008</v>
      </c>
      <c r="C389" s="114">
        <f t="shared" si="231"/>
        <v>0</v>
      </c>
      <c r="D389" s="114">
        <f t="shared" si="231"/>
        <v>1377008</v>
      </c>
      <c r="E389" s="114">
        <f t="shared" si="231"/>
        <v>882801</v>
      </c>
      <c r="F389" s="114">
        <f t="shared" si="231"/>
        <v>494207</v>
      </c>
      <c r="G389" s="114">
        <f t="shared" si="231"/>
        <v>137891</v>
      </c>
      <c r="H389" s="114">
        <f>SUM(E389:G389)</f>
        <v>1514899</v>
      </c>
      <c r="I389" s="143">
        <f t="shared" ref="I389:K391" si="232">+I398+I407+I416+I425+I434</f>
        <v>881579</v>
      </c>
      <c r="J389" s="143">
        <f t="shared" si="232"/>
        <v>469544</v>
      </c>
      <c r="K389" s="143">
        <f t="shared" si="232"/>
        <v>58734</v>
      </c>
      <c r="L389" s="143">
        <f>SUM(I389:K389)</f>
        <v>1409857</v>
      </c>
      <c r="M389" s="114">
        <f t="shared" ref="M389:O391" si="233">+E389-I389</f>
        <v>1222</v>
      </c>
      <c r="N389" s="115">
        <f t="shared" si="233"/>
        <v>24663</v>
      </c>
      <c r="O389" s="114">
        <f t="shared" si="233"/>
        <v>79157</v>
      </c>
      <c r="P389" s="116">
        <f>SUM(M389:O389)</f>
        <v>105042</v>
      </c>
      <c r="Q389" s="106"/>
    </row>
    <row r="390" spans="1:17" ht="12.75" customHeight="1">
      <c r="A390" s="113" t="s">
        <v>17</v>
      </c>
      <c r="B390" s="114">
        <f t="shared" si="231"/>
        <v>0</v>
      </c>
      <c r="C390" s="114">
        <f t="shared" si="231"/>
        <v>71593</v>
      </c>
      <c r="D390" s="114">
        <f t="shared" si="231"/>
        <v>71593</v>
      </c>
      <c r="E390" s="114">
        <f t="shared" si="231"/>
        <v>82129</v>
      </c>
      <c r="F390" s="114">
        <f t="shared" si="231"/>
        <v>0</v>
      </c>
      <c r="G390" s="114">
        <f t="shared" si="231"/>
        <v>0</v>
      </c>
      <c r="H390" s="114">
        <f>SUM(E390:G390)</f>
        <v>82129</v>
      </c>
      <c r="I390" s="143">
        <f t="shared" si="232"/>
        <v>80926</v>
      </c>
      <c r="J390" s="143">
        <f t="shared" si="232"/>
        <v>0</v>
      </c>
      <c r="K390" s="143">
        <f t="shared" si="232"/>
        <v>0</v>
      </c>
      <c r="L390" s="143">
        <f>SUM(I390:K390)</f>
        <v>80926</v>
      </c>
      <c r="M390" s="114">
        <f t="shared" si="233"/>
        <v>1203</v>
      </c>
      <c r="N390" s="115">
        <f t="shared" si="233"/>
        <v>0</v>
      </c>
      <c r="O390" s="114">
        <f t="shared" si="233"/>
        <v>0</v>
      </c>
      <c r="P390" s="116">
        <f>SUM(M390:O390)</f>
        <v>1203</v>
      </c>
      <c r="Q390" s="106"/>
    </row>
    <row r="391" spans="1:17" ht="12.75" customHeight="1">
      <c r="A391" s="113" t="s">
        <v>18</v>
      </c>
      <c r="B391" s="114">
        <f t="shared" si="231"/>
        <v>83684</v>
      </c>
      <c r="C391" s="114">
        <f t="shared" si="231"/>
        <v>0</v>
      </c>
      <c r="D391" s="114">
        <f t="shared" si="231"/>
        <v>83684</v>
      </c>
      <c r="E391" s="114">
        <f t="shared" si="231"/>
        <v>85946</v>
      </c>
      <c r="F391" s="114">
        <f t="shared" si="231"/>
        <v>0</v>
      </c>
      <c r="G391" s="114">
        <f t="shared" si="231"/>
        <v>0</v>
      </c>
      <c r="H391" s="114">
        <f>SUM(E391:G391)</f>
        <v>85946</v>
      </c>
      <c r="I391" s="143">
        <f t="shared" si="232"/>
        <v>85573</v>
      </c>
      <c r="J391" s="143">
        <f t="shared" si="232"/>
        <v>0</v>
      </c>
      <c r="K391" s="143">
        <f t="shared" si="232"/>
        <v>0</v>
      </c>
      <c r="L391" s="143">
        <f>SUM(I391:K391)</f>
        <v>85573</v>
      </c>
      <c r="M391" s="114">
        <f t="shared" si="233"/>
        <v>373</v>
      </c>
      <c r="N391" s="115">
        <f t="shared" si="233"/>
        <v>0</v>
      </c>
      <c r="O391" s="114">
        <f t="shared" si="233"/>
        <v>0</v>
      </c>
      <c r="P391" s="116">
        <f>SUM(M391:O391)</f>
        <v>373</v>
      </c>
      <c r="Q391" s="106"/>
    </row>
    <row r="392" spans="1:17" ht="12.75" customHeight="1">
      <c r="A392" s="113" t="s">
        <v>19</v>
      </c>
      <c r="B392" s="102">
        <f>SUM(B393:B394)</f>
        <v>0</v>
      </c>
      <c r="C392" s="102">
        <f>SUM(C393:C394)</f>
        <v>0</v>
      </c>
      <c r="D392" s="102">
        <f>SUM(D393:D394)</f>
        <v>0</v>
      </c>
      <c r="E392" s="102">
        <f t="shared" ref="E392:P392" si="234">SUM(E393:E394)</f>
        <v>0</v>
      </c>
      <c r="F392" s="102">
        <f t="shared" si="234"/>
        <v>0</v>
      </c>
      <c r="G392" s="102">
        <f t="shared" si="234"/>
        <v>0</v>
      </c>
      <c r="H392" s="102">
        <f t="shared" si="234"/>
        <v>0</v>
      </c>
      <c r="I392" s="139">
        <f>SUM(I393:I394)</f>
        <v>0</v>
      </c>
      <c r="J392" s="139">
        <f>SUM(J393:J394)</f>
        <v>0</v>
      </c>
      <c r="K392" s="139">
        <f>SUM(K393:K394)</f>
        <v>0</v>
      </c>
      <c r="L392" s="139">
        <f>SUM(L393:L394)</f>
        <v>0</v>
      </c>
      <c r="M392" s="102">
        <f t="shared" si="234"/>
        <v>0</v>
      </c>
      <c r="N392" s="104">
        <f t="shared" si="234"/>
        <v>0</v>
      </c>
      <c r="O392" s="102">
        <f t="shared" si="234"/>
        <v>0</v>
      </c>
      <c r="P392" s="105">
        <f t="shared" si="234"/>
        <v>0</v>
      </c>
      <c r="Q392" s="106"/>
    </row>
    <row r="393" spans="1:17" ht="12.75" customHeight="1">
      <c r="A393" s="113" t="s">
        <v>20</v>
      </c>
      <c r="B393" s="114">
        <f t="shared" ref="B393:G394" si="235">+B402+B411+B420+B429+B438</f>
        <v>0</v>
      </c>
      <c r="C393" s="114">
        <f t="shared" si="235"/>
        <v>0</v>
      </c>
      <c r="D393" s="114">
        <f t="shared" si="235"/>
        <v>0</v>
      </c>
      <c r="E393" s="114">
        <f t="shared" si="235"/>
        <v>0</v>
      </c>
      <c r="F393" s="114">
        <f t="shared" si="235"/>
        <v>0</v>
      </c>
      <c r="G393" s="114">
        <f t="shared" si="235"/>
        <v>0</v>
      </c>
      <c r="H393" s="114">
        <f>SUM(E393:G393)</f>
        <v>0</v>
      </c>
      <c r="I393" s="143">
        <f t="shared" ref="I393:K394" si="236">+I402+I411+I420+I429+I438</f>
        <v>0</v>
      </c>
      <c r="J393" s="143">
        <f t="shared" si="236"/>
        <v>0</v>
      </c>
      <c r="K393" s="143">
        <f t="shared" si="236"/>
        <v>0</v>
      </c>
      <c r="L393" s="143">
        <f>SUM(I393:K393)</f>
        <v>0</v>
      </c>
      <c r="M393" s="114">
        <f t="shared" ref="M393:O394" si="237">+E393-I393</f>
        <v>0</v>
      </c>
      <c r="N393" s="115">
        <f t="shared" si="237"/>
        <v>0</v>
      </c>
      <c r="O393" s="114">
        <f t="shared" si="237"/>
        <v>0</v>
      </c>
      <c r="P393" s="116">
        <f>SUM(M393:O393)</f>
        <v>0</v>
      </c>
      <c r="Q393" s="106"/>
    </row>
    <row r="394" spans="1:17" ht="12.75" customHeight="1">
      <c r="A394" s="113" t="s">
        <v>21</v>
      </c>
      <c r="B394" s="114">
        <f t="shared" si="235"/>
        <v>0</v>
      </c>
      <c r="C394" s="114">
        <f t="shared" si="235"/>
        <v>0</v>
      </c>
      <c r="D394" s="114">
        <f t="shared" si="235"/>
        <v>0</v>
      </c>
      <c r="E394" s="114">
        <f t="shared" si="235"/>
        <v>0</v>
      </c>
      <c r="F394" s="114">
        <f t="shared" si="235"/>
        <v>0</v>
      </c>
      <c r="G394" s="114">
        <f t="shared" si="235"/>
        <v>0</v>
      </c>
      <c r="H394" s="114">
        <f>SUM(E394:G394)</f>
        <v>0</v>
      </c>
      <c r="I394" s="143">
        <f t="shared" si="236"/>
        <v>0</v>
      </c>
      <c r="J394" s="143">
        <f t="shared" si="236"/>
        <v>0</v>
      </c>
      <c r="K394" s="143">
        <f t="shared" si="236"/>
        <v>0</v>
      </c>
      <c r="L394" s="143">
        <f>SUM(I394:K394)</f>
        <v>0</v>
      </c>
      <c r="M394" s="114">
        <f t="shared" si="237"/>
        <v>0</v>
      </c>
      <c r="N394" s="115">
        <f t="shared" si="237"/>
        <v>0</v>
      </c>
      <c r="O394" s="114">
        <f t="shared" si="237"/>
        <v>0</v>
      </c>
      <c r="P394" s="116">
        <f>SUM(M394:O394)</f>
        <v>0</v>
      </c>
      <c r="Q394" s="106"/>
    </row>
    <row r="395" spans="1:17" ht="12.75" customHeight="1">
      <c r="A395" s="149"/>
      <c r="B395" s="150"/>
      <c r="C395" s="150"/>
      <c r="D395" s="150"/>
      <c r="E395" s="114"/>
      <c r="F395" s="114"/>
      <c r="G395" s="114"/>
      <c r="H395" s="114"/>
      <c r="I395" s="43"/>
      <c r="J395" s="43"/>
      <c r="K395" s="43"/>
      <c r="L395" s="78"/>
      <c r="M395" s="114"/>
      <c r="N395" s="115"/>
      <c r="O395" s="114"/>
      <c r="P395" s="116"/>
      <c r="Q395" s="106"/>
    </row>
    <row r="396" spans="1:17" ht="12.75" customHeight="1">
      <c r="A396" s="120" t="s">
        <v>264</v>
      </c>
      <c r="B396" s="102">
        <f>+B397+B401</f>
        <v>320974</v>
      </c>
      <c r="C396" s="102">
        <f>+C397+C401</f>
        <v>35087</v>
      </c>
      <c r="D396" s="102">
        <f>+D397+D401</f>
        <v>356061</v>
      </c>
      <c r="E396" s="102">
        <f t="shared" ref="E396:P396" si="238">+E397+E401</f>
        <v>239908</v>
      </c>
      <c r="F396" s="102">
        <f t="shared" si="238"/>
        <v>118192</v>
      </c>
      <c r="G396" s="102">
        <f t="shared" si="238"/>
        <v>32429</v>
      </c>
      <c r="H396" s="102">
        <f t="shared" si="238"/>
        <v>390529</v>
      </c>
      <c r="I396" s="45">
        <f t="shared" si="238"/>
        <v>239908</v>
      </c>
      <c r="J396" s="45">
        <f t="shared" si="238"/>
        <v>118192</v>
      </c>
      <c r="K396" s="45">
        <f t="shared" si="238"/>
        <v>0</v>
      </c>
      <c r="L396" s="103">
        <f t="shared" si="238"/>
        <v>358100</v>
      </c>
      <c r="M396" s="102">
        <f t="shared" si="238"/>
        <v>0</v>
      </c>
      <c r="N396" s="104">
        <f t="shared" si="238"/>
        <v>0</v>
      </c>
      <c r="O396" s="102">
        <f t="shared" si="238"/>
        <v>32429</v>
      </c>
      <c r="P396" s="105">
        <f t="shared" si="238"/>
        <v>32429</v>
      </c>
      <c r="Q396" s="106">
        <f>+L396/H396</f>
        <v>0.91696135242197119</v>
      </c>
    </row>
    <row r="397" spans="1:17" ht="12.75" customHeight="1">
      <c r="A397" s="127" t="s">
        <v>15</v>
      </c>
      <c r="B397" s="108">
        <f>SUM(B398:B400)</f>
        <v>320974</v>
      </c>
      <c r="C397" s="108">
        <f>SUM(C398:C400)</f>
        <v>35087</v>
      </c>
      <c r="D397" s="108">
        <f>SUM(D398:D400)</f>
        <v>356061</v>
      </c>
      <c r="E397" s="108">
        <f t="shared" ref="E397:P397" si="239">SUM(E398:E400)</f>
        <v>239908</v>
      </c>
      <c r="F397" s="108">
        <f t="shared" si="239"/>
        <v>118192</v>
      </c>
      <c r="G397" s="108">
        <f t="shared" si="239"/>
        <v>32429</v>
      </c>
      <c r="H397" s="108">
        <f t="shared" si="239"/>
        <v>390529</v>
      </c>
      <c r="I397" s="109">
        <f>SUM(I398:I400)</f>
        <v>239908</v>
      </c>
      <c r="J397" s="109">
        <f>SUM(J398:J400)</f>
        <v>118192</v>
      </c>
      <c r="K397" s="109">
        <f>SUM(K398:K400)</f>
        <v>0</v>
      </c>
      <c r="L397" s="110">
        <f>SUM(L398:L400)</f>
        <v>358100</v>
      </c>
      <c r="M397" s="108">
        <f t="shared" si="239"/>
        <v>0</v>
      </c>
      <c r="N397" s="111">
        <f t="shared" si="239"/>
        <v>0</v>
      </c>
      <c r="O397" s="108">
        <f t="shared" si="239"/>
        <v>32429</v>
      </c>
      <c r="P397" s="112">
        <f t="shared" si="239"/>
        <v>32429</v>
      </c>
      <c r="Q397" s="106"/>
    </row>
    <row r="398" spans="1:17" ht="12.75" customHeight="1">
      <c r="A398" s="113" t="s">
        <v>16</v>
      </c>
      <c r="B398" s="114">
        <v>303266</v>
      </c>
      <c r="C398" s="114"/>
      <c r="D398" s="114">
        <f>+B398+C398</f>
        <v>303266</v>
      </c>
      <c r="E398" s="114">
        <v>185074</v>
      </c>
      <c r="F398" s="114">
        <v>118192</v>
      </c>
      <c r="G398" s="114">
        <v>32429</v>
      </c>
      <c r="H398" s="114">
        <f>SUM(E398:G398)</f>
        <v>335695</v>
      </c>
      <c r="I398" s="43">
        <f>185940-866</f>
        <v>185074</v>
      </c>
      <c r="J398" s="43">
        <v>118192</v>
      </c>
      <c r="K398" s="43"/>
      <c r="L398" s="78">
        <f>SUM(I398:K398)</f>
        <v>303266</v>
      </c>
      <c r="M398" s="114">
        <f t="shared" ref="M398:O400" si="240">+E398-I398</f>
        <v>0</v>
      </c>
      <c r="N398" s="115">
        <f t="shared" si="240"/>
        <v>0</v>
      </c>
      <c r="O398" s="114">
        <f t="shared" si="240"/>
        <v>32429</v>
      </c>
      <c r="P398" s="116">
        <f>SUM(M398:O398)</f>
        <v>32429</v>
      </c>
      <c r="Q398" s="106"/>
    </row>
    <row r="399" spans="1:17" ht="12.75" customHeight="1">
      <c r="A399" s="113" t="s">
        <v>17</v>
      </c>
      <c r="B399" s="114"/>
      <c r="C399" s="114">
        <f>+H399</f>
        <v>35087</v>
      </c>
      <c r="D399" s="114">
        <f>+B399+C399</f>
        <v>35087</v>
      </c>
      <c r="E399" s="114">
        <v>35087</v>
      </c>
      <c r="F399" s="114"/>
      <c r="G399" s="114"/>
      <c r="H399" s="114">
        <f>SUM(E399:G399)</f>
        <v>35087</v>
      </c>
      <c r="I399" s="43">
        <f>33971+866+250</f>
        <v>35087</v>
      </c>
      <c r="J399" s="43"/>
      <c r="K399" s="43"/>
      <c r="L399" s="78">
        <f>SUM(I399:K399)</f>
        <v>35087</v>
      </c>
      <c r="M399" s="114">
        <f t="shared" si="240"/>
        <v>0</v>
      </c>
      <c r="N399" s="115">
        <f t="shared" si="240"/>
        <v>0</v>
      </c>
      <c r="O399" s="114">
        <f t="shared" si="240"/>
        <v>0</v>
      </c>
      <c r="P399" s="116">
        <f>SUM(M399:O399)</f>
        <v>0</v>
      </c>
      <c r="Q399" s="106"/>
    </row>
    <row r="400" spans="1:17" ht="12.75" customHeight="1">
      <c r="A400" s="113" t="s">
        <v>18</v>
      </c>
      <c r="B400" s="114">
        <v>17708</v>
      </c>
      <c r="C400" s="114"/>
      <c r="D400" s="114">
        <f>+B400+C400</f>
        <v>17708</v>
      </c>
      <c r="E400" s="114">
        <v>19747</v>
      </c>
      <c r="F400" s="114"/>
      <c r="G400" s="114"/>
      <c r="H400" s="114">
        <f>SUM(E400:G400)</f>
        <v>19747</v>
      </c>
      <c r="I400" s="43">
        <f>19998-251</f>
        <v>19747</v>
      </c>
      <c r="J400" s="43"/>
      <c r="K400" s="43"/>
      <c r="L400" s="78">
        <f>SUM(I400:K400)</f>
        <v>19747</v>
      </c>
      <c r="M400" s="114">
        <f t="shared" si="240"/>
        <v>0</v>
      </c>
      <c r="N400" s="115">
        <f t="shared" si="240"/>
        <v>0</v>
      </c>
      <c r="O400" s="114">
        <f t="shared" si="240"/>
        <v>0</v>
      </c>
      <c r="P400" s="116">
        <f>SUM(M400:O400)</f>
        <v>0</v>
      </c>
      <c r="Q400" s="106"/>
    </row>
    <row r="401" spans="1:17" ht="12.75" customHeight="1">
      <c r="A401" s="113" t="s">
        <v>19</v>
      </c>
      <c r="B401" s="102">
        <f>SUM(B402:B403)</f>
        <v>0</v>
      </c>
      <c r="C401" s="102">
        <f>SUM(C402:C403)</f>
        <v>0</v>
      </c>
      <c r="D401" s="102">
        <f>SUM(D402:D403)</f>
        <v>0</v>
      </c>
      <c r="E401" s="102">
        <f t="shared" ref="E401:P401" si="241">SUM(E402:E403)</f>
        <v>0</v>
      </c>
      <c r="F401" s="102">
        <f t="shared" si="241"/>
        <v>0</v>
      </c>
      <c r="G401" s="102">
        <f t="shared" si="241"/>
        <v>0</v>
      </c>
      <c r="H401" s="102">
        <f t="shared" si="241"/>
        <v>0</v>
      </c>
      <c r="I401" s="45">
        <f>SUM(I402:I403)</f>
        <v>0</v>
      </c>
      <c r="J401" s="45">
        <f>SUM(J402:J403)</f>
        <v>0</v>
      </c>
      <c r="K401" s="45">
        <f>SUM(K402:K403)</f>
        <v>0</v>
      </c>
      <c r="L401" s="103">
        <f>SUM(L402:L403)</f>
        <v>0</v>
      </c>
      <c r="M401" s="102">
        <f t="shared" si="241"/>
        <v>0</v>
      </c>
      <c r="N401" s="104">
        <f t="shared" si="241"/>
        <v>0</v>
      </c>
      <c r="O401" s="102">
        <f t="shared" si="241"/>
        <v>0</v>
      </c>
      <c r="P401" s="105">
        <f t="shared" si="241"/>
        <v>0</v>
      </c>
      <c r="Q401" s="106"/>
    </row>
    <row r="402" spans="1:17" ht="12.75" customHeight="1">
      <c r="A402" s="113" t="s">
        <v>20</v>
      </c>
      <c r="B402" s="114"/>
      <c r="C402" s="114"/>
      <c r="D402" s="114">
        <f>+B402+C402</f>
        <v>0</v>
      </c>
      <c r="E402" s="114"/>
      <c r="F402" s="114"/>
      <c r="G402" s="114"/>
      <c r="H402" s="114">
        <f>SUM(E402:G402)</f>
        <v>0</v>
      </c>
      <c r="I402" s="43"/>
      <c r="J402" s="43"/>
      <c r="K402" s="43"/>
      <c r="L402" s="78">
        <f>SUM(I402:K402)</f>
        <v>0</v>
      </c>
      <c r="M402" s="114">
        <f t="shared" ref="M402:O403" si="242">+E402-I402</f>
        <v>0</v>
      </c>
      <c r="N402" s="115">
        <f t="shared" si="242"/>
        <v>0</v>
      </c>
      <c r="O402" s="114">
        <f t="shared" si="242"/>
        <v>0</v>
      </c>
      <c r="P402" s="116">
        <f>SUM(M402:O402)</f>
        <v>0</v>
      </c>
      <c r="Q402" s="106"/>
    </row>
    <row r="403" spans="1:17" ht="12.75" customHeight="1">
      <c r="A403" s="113" t="s">
        <v>21</v>
      </c>
      <c r="B403" s="114"/>
      <c r="C403" s="114"/>
      <c r="D403" s="114">
        <f>+B403+C403</f>
        <v>0</v>
      </c>
      <c r="E403" s="114"/>
      <c r="F403" s="114"/>
      <c r="G403" s="114"/>
      <c r="H403" s="114">
        <f>SUM(E403:G403)</f>
        <v>0</v>
      </c>
      <c r="I403" s="43"/>
      <c r="J403" s="43"/>
      <c r="K403" s="43"/>
      <c r="L403" s="78">
        <f>SUM(I403:K403)</f>
        <v>0</v>
      </c>
      <c r="M403" s="114">
        <f t="shared" si="242"/>
        <v>0</v>
      </c>
      <c r="N403" s="115">
        <f t="shared" si="242"/>
        <v>0</v>
      </c>
      <c r="O403" s="114">
        <f t="shared" si="242"/>
        <v>0</v>
      </c>
      <c r="P403" s="116">
        <f>SUM(M403:O403)</f>
        <v>0</v>
      </c>
      <c r="Q403" s="106"/>
    </row>
    <row r="404" spans="1:17" ht="12.75" customHeight="1">
      <c r="A404" s="121"/>
      <c r="B404" s="122"/>
      <c r="C404" s="122"/>
      <c r="D404" s="122"/>
      <c r="E404" s="114"/>
      <c r="F404" s="114"/>
      <c r="G404" s="114"/>
      <c r="H404" s="114"/>
      <c r="I404" s="43"/>
      <c r="J404" s="43"/>
      <c r="K404" s="43"/>
      <c r="L404" s="78"/>
      <c r="M404" s="114"/>
      <c r="N404" s="115"/>
      <c r="O404" s="114"/>
      <c r="P404" s="116"/>
      <c r="Q404" s="106"/>
    </row>
    <row r="405" spans="1:17" ht="12.75" customHeight="1">
      <c r="A405" s="120" t="s">
        <v>265</v>
      </c>
      <c r="B405" s="102">
        <f>+B406+B410</f>
        <v>323083</v>
      </c>
      <c r="C405" s="102">
        <f>+C406+C410</f>
        <v>18447</v>
      </c>
      <c r="D405" s="102">
        <f>+D406+D410</f>
        <v>341530</v>
      </c>
      <c r="E405" s="102">
        <f t="shared" ref="E405:P405" si="243">+E406+E410</f>
        <v>222973</v>
      </c>
      <c r="F405" s="102">
        <f t="shared" si="243"/>
        <v>118603</v>
      </c>
      <c r="G405" s="102">
        <f t="shared" si="243"/>
        <v>34959</v>
      </c>
      <c r="H405" s="102">
        <f t="shared" si="243"/>
        <v>376535</v>
      </c>
      <c r="I405" s="45">
        <f t="shared" si="243"/>
        <v>222972</v>
      </c>
      <c r="J405" s="45">
        <f t="shared" si="243"/>
        <v>118599</v>
      </c>
      <c r="K405" s="45">
        <f t="shared" si="243"/>
        <v>34959</v>
      </c>
      <c r="L405" s="103">
        <f t="shared" si="243"/>
        <v>376530</v>
      </c>
      <c r="M405" s="102">
        <f t="shared" si="243"/>
        <v>1</v>
      </c>
      <c r="N405" s="104">
        <f t="shared" si="243"/>
        <v>4</v>
      </c>
      <c r="O405" s="102">
        <f t="shared" si="243"/>
        <v>0</v>
      </c>
      <c r="P405" s="105">
        <f t="shared" si="243"/>
        <v>5</v>
      </c>
      <c r="Q405" s="106">
        <f>+L405/H405</f>
        <v>0.99998672102195019</v>
      </c>
    </row>
    <row r="406" spans="1:17" ht="12.75" customHeight="1">
      <c r="A406" s="127" t="s">
        <v>15</v>
      </c>
      <c r="B406" s="108">
        <f>SUM(B407:B409)</f>
        <v>323083</v>
      </c>
      <c r="C406" s="108">
        <f>SUM(C407:C409)</f>
        <v>18447</v>
      </c>
      <c r="D406" s="108">
        <f>SUM(D407:D409)</f>
        <v>341530</v>
      </c>
      <c r="E406" s="108">
        <f t="shared" ref="E406:P406" si="244">SUM(E407:E409)</f>
        <v>222973</v>
      </c>
      <c r="F406" s="108">
        <f t="shared" si="244"/>
        <v>118603</v>
      </c>
      <c r="G406" s="108">
        <f t="shared" si="244"/>
        <v>34959</v>
      </c>
      <c r="H406" s="108">
        <f t="shared" si="244"/>
        <v>376535</v>
      </c>
      <c r="I406" s="109">
        <f>SUM(I407:I409)</f>
        <v>222972</v>
      </c>
      <c r="J406" s="109">
        <f>SUM(J407:J409)</f>
        <v>118599</v>
      </c>
      <c r="K406" s="109">
        <f>SUM(K407:K409)</f>
        <v>34959</v>
      </c>
      <c r="L406" s="110">
        <f>SUM(L407:L409)</f>
        <v>376530</v>
      </c>
      <c r="M406" s="108">
        <f t="shared" si="244"/>
        <v>1</v>
      </c>
      <c r="N406" s="111">
        <f t="shared" si="244"/>
        <v>4</v>
      </c>
      <c r="O406" s="108">
        <f t="shared" si="244"/>
        <v>0</v>
      </c>
      <c r="P406" s="112">
        <f t="shared" si="244"/>
        <v>5</v>
      </c>
      <c r="Q406" s="106"/>
    </row>
    <row r="407" spans="1:17" ht="12.75" customHeight="1">
      <c r="A407" s="113" t="s">
        <v>16</v>
      </c>
      <c r="B407" s="114">
        <v>305804</v>
      </c>
      <c r="C407" s="114"/>
      <c r="D407" s="114">
        <f>+B407+C407</f>
        <v>305804</v>
      </c>
      <c r="E407" s="114">
        <v>187201</v>
      </c>
      <c r="F407" s="114">
        <v>118603</v>
      </c>
      <c r="G407" s="114">
        <v>34959</v>
      </c>
      <c r="H407" s="114">
        <f>SUM(E407:G407)</f>
        <v>340763</v>
      </c>
      <c r="I407" s="43">
        <v>187201</v>
      </c>
      <c r="J407" s="43">
        <v>118599</v>
      </c>
      <c r="K407" s="43">
        <v>34959</v>
      </c>
      <c r="L407" s="78">
        <f>SUM(I407:K407)</f>
        <v>340759</v>
      </c>
      <c r="M407" s="114">
        <f t="shared" ref="M407:O409" si="245">+E407-I407</f>
        <v>0</v>
      </c>
      <c r="N407" s="115">
        <f t="shared" si="245"/>
        <v>4</v>
      </c>
      <c r="O407" s="114">
        <f t="shared" si="245"/>
        <v>0</v>
      </c>
      <c r="P407" s="116">
        <f>SUM(M407:O407)</f>
        <v>4</v>
      </c>
      <c r="Q407" s="106"/>
    </row>
    <row r="408" spans="1:17" ht="12.75" customHeight="1">
      <c r="A408" s="113" t="s">
        <v>17</v>
      </c>
      <c r="B408" s="114"/>
      <c r="C408" s="114">
        <f>+H408</f>
        <v>18447</v>
      </c>
      <c r="D408" s="114">
        <f>+B408+C408</f>
        <v>18447</v>
      </c>
      <c r="E408" s="114">
        <v>18447</v>
      </c>
      <c r="F408" s="114"/>
      <c r="G408" s="114"/>
      <c r="H408" s="114">
        <f>SUM(E408:G408)</f>
        <v>18447</v>
      </c>
      <c r="I408" s="43">
        <v>18447</v>
      </c>
      <c r="J408" s="43"/>
      <c r="K408" s="43"/>
      <c r="L408" s="78">
        <f>SUM(I408:K408)</f>
        <v>18447</v>
      </c>
      <c r="M408" s="114">
        <f t="shared" si="245"/>
        <v>0</v>
      </c>
      <c r="N408" s="115">
        <f t="shared" si="245"/>
        <v>0</v>
      </c>
      <c r="O408" s="114">
        <f t="shared" si="245"/>
        <v>0</v>
      </c>
      <c r="P408" s="116">
        <f>SUM(M408:O408)</f>
        <v>0</v>
      </c>
      <c r="Q408" s="106"/>
    </row>
    <row r="409" spans="1:17" ht="12.75" customHeight="1">
      <c r="A409" s="113" t="s">
        <v>18</v>
      </c>
      <c r="B409" s="114">
        <v>17279</v>
      </c>
      <c r="C409" s="114"/>
      <c r="D409" s="114">
        <f>+B409+C409</f>
        <v>17279</v>
      </c>
      <c r="E409" s="114">
        <v>17325</v>
      </c>
      <c r="F409" s="114"/>
      <c r="G409" s="114"/>
      <c r="H409" s="114">
        <f>SUM(E409:G409)</f>
        <v>17325</v>
      </c>
      <c r="I409" s="43">
        <v>17324</v>
      </c>
      <c r="J409" s="43"/>
      <c r="K409" s="43"/>
      <c r="L409" s="78">
        <f>SUM(I409:K409)</f>
        <v>17324</v>
      </c>
      <c r="M409" s="114">
        <f t="shared" si="245"/>
        <v>1</v>
      </c>
      <c r="N409" s="115">
        <f t="shared" si="245"/>
        <v>0</v>
      </c>
      <c r="O409" s="114">
        <f t="shared" si="245"/>
        <v>0</v>
      </c>
      <c r="P409" s="116">
        <f>SUM(M409:O409)</f>
        <v>1</v>
      </c>
      <c r="Q409" s="106"/>
    </row>
    <row r="410" spans="1:17" ht="12.75" customHeight="1">
      <c r="A410" s="113" t="s">
        <v>19</v>
      </c>
      <c r="B410" s="102">
        <f>SUM(B411:B412)</f>
        <v>0</v>
      </c>
      <c r="C410" s="102">
        <f>SUM(C411:C412)</f>
        <v>0</v>
      </c>
      <c r="D410" s="102">
        <f>SUM(D411:D412)</f>
        <v>0</v>
      </c>
      <c r="E410" s="102">
        <f t="shared" ref="E410:P410" si="246">SUM(E411:E412)</f>
        <v>0</v>
      </c>
      <c r="F410" s="102">
        <f t="shared" si="246"/>
        <v>0</v>
      </c>
      <c r="G410" s="102">
        <f t="shared" si="246"/>
        <v>0</v>
      </c>
      <c r="H410" s="102">
        <f t="shared" si="246"/>
        <v>0</v>
      </c>
      <c r="I410" s="45">
        <f>SUM(I411:I412)</f>
        <v>0</v>
      </c>
      <c r="J410" s="45">
        <f>SUM(J411:J412)</f>
        <v>0</v>
      </c>
      <c r="K410" s="45">
        <f>SUM(K411:K412)</f>
        <v>0</v>
      </c>
      <c r="L410" s="103">
        <f>SUM(L411:L412)</f>
        <v>0</v>
      </c>
      <c r="M410" s="102">
        <f t="shared" si="246"/>
        <v>0</v>
      </c>
      <c r="N410" s="104">
        <f t="shared" si="246"/>
        <v>0</v>
      </c>
      <c r="O410" s="102">
        <f t="shared" si="246"/>
        <v>0</v>
      </c>
      <c r="P410" s="105">
        <f t="shared" si="246"/>
        <v>0</v>
      </c>
      <c r="Q410" s="106"/>
    </row>
    <row r="411" spans="1:17" ht="12.75" customHeight="1">
      <c r="A411" s="113" t="s">
        <v>20</v>
      </c>
      <c r="B411" s="114"/>
      <c r="C411" s="114"/>
      <c r="D411" s="114">
        <f>+B411+C411</f>
        <v>0</v>
      </c>
      <c r="E411" s="114"/>
      <c r="F411" s="114"/>
      <c r="G411" s="114"/>
      <c r="H411" s="114">
        <f>SUM(E411:G411)</f>
        <v>0</v>
      </c>
      <c r="I411" s="43"/>
      <c r="J411" s="43"/>
      <c r="K411" s="43"/>
      <c r="L411" s="78">
        <f>SUM(I411:K411)</f>
        <v>0</v>
      </c>
      <c r="M411" s="114">
        <f t="shared" ref="M411:O412" si="247">+E411-I411</f>
        <v>0</v>
      </c>
      <c r="N411" s="115">
        <f t="shared" si="247"/>
        <v>0</v>
      </c>
      <c r="O411" s="114">
        <f t="shared" si="247"/>
        <v>0</v>
      </c>
      <c r="P411" s="116">
        <f>SUM(M411:O411)</f>
        <v>0</v>
      </c>
      <c r="Q411" s="106"/>
    </row>
    <row r="412" spans="1:17" ht="12.75" customHeight="1">
      <c r="A412" s="113" t="s">
        <v>21</v>
      </c>
      <c r="B412" s="114"/>
      <c r="C412" s="114">
        <f>+H412</f>
        <v>0</v>
      </c>
      <c r="D412" s="114">
        <f>+B412+C412</f>
        <v>0</v>
      </c>
      <c r="E412" s="114"/>
      <c r="F412" s="114"/>
      <c r="G412" s="114"/>
      <c r="H412" s="114">
        <f>SUM(E412:G412)</f>
        <v>0</v>
      </c>
      <c r="I412" s="43"/>
      <c r="J412" s="43"/>
      <c r="K412" s="43"/>
      <c r="L412" s="78">
        <f>SUM(I412:K412)</f>
        <v>0</v>
      </c>
      <c r="M412" s="114">
        <f t="shared" si="247"/>
        <v>0</v>
      </c>
      <c r="N412" s="115">
        <f t="shared" si="247"/>
        <v>0</v>
      </c>
      <c r="O412" s="114">
        <f t="shared" si="247"/>
        <v>0</v>
      </c>
      <c r="P412" s="116">
        <f>SUM(M412:O412)</f>
        <v>0</v>
      </c>
      <c r="Q412" s="106"/>
    </row>
    <row r="413" spans="1:17" ht="12.75" customHeight="1">
      <c r="A413" s="121"/>
      <c r="B413" s="122"/>
      <c r="C413" s="122"/>
      <c r="D413" s="122"/>
      <c r="E413" s="114"/>
      <c r="F413" s="114"/>
      <c r="G413" s="114"/>
      <c r="H413" s="114"/>
      <c r="I413" s="43"/>
      <c r="J413" s="43"/>
      <c r="K413" s="43"/>
      <c r="L413" s="78"/>
      <c r="M413" s="114"/>
      <c r="N413" s="115"/>
      <c r="O413" s="114"/>
      <c r="P413" s="116"/>
      <c r="Q413" s="106"/>
    </row>
    <row r="414" spans="1:17">
      <c r="A414" s="120" t="s">
        <v>266</v>
      </c>
      <c r="B414" s="102">
        <f>+B415+B419</f>
        <v>264453</v>
      </c>
      <c r="C414" s="102">
        <f>+C415+C419</f>
        <v>9405</v>
      </c>
      <c r="D414" s="102">
        <f>+D415+D419</f>
        <v>273858</v>
      </c>
      <c r="E414" s="102">
        <f t="shared" ref="E414:P414" si="248">+E415+E419</f>
        <v>179746</v>
      </c>
      <c r="F414" s="102">
        <f t="shared" si="248"/>
        <v>94112</v>
      </c>
      <c r="G414" s="102">
        <f t="shared" si="248"/>
        <v>20672</v>
      </c>
      <c r="H414" s="102">
        <f t="shared" si="248"/>
        <v>294530</v>
      </c>
      <c r="I414" s="45">
        <f t="shared" si="248"/>
        <v>178808</v>
      </c>
      <c r="J414" s="45">
        <f t="shared" si="248"/>
        <v>78931</v>
      </c>
      <c r="K414" s="45">
        <f t="shared" si="248"/>
        <v>10086</v>
      </c>
      <c r="L414" s="103">
        <f t="shared" si="248"/>
        <v>267825</v>
      </c>
      <c r="M414" s="102">
        <f t="shared" si="248"/>
        <v>938</v>
      </c>
      <c r="N414" s="104">
        <f t="shared" si="248"/>
        <v>15181</v>
      </c>
      <c r="O414" s="102">
        <f t="shared" si="248"/>
        <v>10586</v>
      </c>
      <c r="P414" s="105">
        <f t="shared" si="248"/>
        <v>26705</v>
      </c>
      <c r="Q414" s="106">
        <f>+L414/H414</f>
        <v>0.90933011917291962</v>
      </c>
    </row>
    <row r="415" spans="1:17" ht="12.75" customHeight="1">
      <c r="A415" s="127" t="s">
        <v>15</v>
      </c>
      <c r="B415" s="108">
        <f>SUM(B416:B418)</f>
        <v>264453</v>
      </c>
      <c r="C415" s="108">
        <f>SUM(C416:C418)</f>
        <v>9405</v>
      </c>
      <c r="D415" s="108">
        <f>SUM(D416:D418)</f>
        <v>273858</v>
      </c>
      <c r="E415" s="108">
        <f t="shared" ref="E415:P415" si="249">SUM(E416:E418)</f>
        <v>179746</v>
      </c>
      <c r="F415" s="108">
        <f t="shared" si="249"/>
        <v>94112</v>
      </c>
      <c r="G415" s="108">
        <f t="shared" si="249"/>
        <v>20672</v>
      </c>
      <c r="H415" s="108">
        <f t="shared" si="249"/>
        <v>294530</v>
      </c>
      <c r="I415" s="109">
        <f>SUM(I416:I418)</f>
        <v>178808</v>
      </c>
      <c r="J415" s="109">
        <f>SUM(J416:J418)</f>
        <v>78931</v>
      </c>
      <c r="K415" s="109">
        <f>SUM(K416:K418)</f>
        <v>10086</v>
      </c>
      <c r="L415" s="110">
        <f>SUM(L416:L418)</f>
        <v>267825</v>
      </c>
      <c r="M415" s="108">
        <f t="shared" si="249"/>
        <v>938</v>
      </c>
      <c r="N415" s="111">
        <f t="shared" si="249"/>
        <v>15181</v>
      </c>
      <c r="O415" s="108">
        <f t="shared" si="249"/>
        <v>10586</v>
      </c>
      <c r="P415" s="112">
        <f t="shared" si="249"/>
        <v>26705</v>
      </c>
      <c r="Q415" s="106"/>
    </row>
    <row r="416" spans="1:17" ht="12.75" customHeight="1">
      <c r="A416" s="113" t="s">
        <v>16</v>
      </c>
      <c r="B416" s="114">
        <v>249766</v>
      </c>
      <c r="C416" s="114"/>
      <c r="D416" s="114">
        <f>+B416+C416</f>
        <v>249766</v>
      </c>
      <c r="E416" s="114">
        <v>155654</v>
      </c>
      <c r="F416" s="114">
        <v>94112</v>
      </c>
      <c r="G416" s="114">
        <v>20672</v>
      </c>
      <c r="H416" s="114">
        <f>SUM(E416:G416)</f>
        <v>270438</v>
      </c>
      <c r="I416" s="43">
        <v>154930</v>
      </c>
      <c r="J416" s="43">
        <v>78931</v>
      </c>
      <c r="K416" s="43">
        <v>10086</v>
      </c>
      <c r="L416" s="78">
        <f>SUM(I416:K416)</f>
        <v>243947</v>
      </c>
      <c r="M416" s="114">
        <f t="shared" ref="M416:O418" si="250">+E416-I416</f>
        <v>724</v>
      </c>
      <c r="N416" s="115">
        <f t="shared" si="250"/>
        <v>15181</v>
      </c>
      <c r="O416" s="114">
        <f t="shared" si="250"/>
        <v>10586</v>
      </c>
      <c r="P416" s="116">
        <f>SUM(M416:O416)</f>
        <v>26491</v>
      </c>
      <c r="Q416" s="106"/>
    </row>
    <row r="417" spans="1:17" ht="12.75" customHeight="1">
      <c r="A417" s="113" t="s">
        <v>17</v>
      </c>
      <c r="B417" s="114"/>
      <c r="C417" s="114">
        <f>+H417</f>
        <v>9405</v>
      </c>
      <c r="D417" s="114">
        <f>+B417+C417</f>
        <v>9405</v>
      </c>
      <c r="E417" s="114">
        <v>9405</v>
      </c>
      <c r="F417" s="114"/>
      <c r="G417" s="114"/>
      <c r="H417" s="114">
        <f>SUM(E417:G417)</f>
        <v>9405</v>
      </c>
      <c r="I417" s="43">
        <v>9405</v>
      </c>
      <c r="J417" s="43"/>
      <c r="K417" s="43"/>
      <c r="L417" s="78">
        <f>SUM(I417:K417)</f>
        <v>9405</v>
      </c>
      <c r="M417" s="114">
        <f t="shared" si="250"/>
        <v>0</v>
      </c>
      <c r="N417" s="115">
        <f t="shared" si="250"/>
        <v>0</v>
      </c>
      <c r="O417" s="114">
        <f t="shared" si="250"/>
        <v>0</v>
      </c>
      <c r="P417" s="116">
        <f>SUM(M417:O417)</f>
        <v>0</v>
      </c>
      <c r="Q417" s="106"/>
    </row>
    <row r="418" spans="1:17" ht="12.75" customHeight="1">
      <c r="A418" s="113" t="s">
        <v>18</v>
      </c>
      <c r="B418" s="114">
        <v>14687</v>
      </c>
      <c r="C418" s="114"/>
      <c r="D418" s="114">
        <f>+B418+C418</f>
        <v>14687</v>
      </c>
      <c r="E418" s="114">
        <v>14687</v>
      </c>
      <c r="F418" s="114"/>
      <c r="G418" s="114"/>
      <c r="H418" s="114">
        <f>SUM(E418:G418)</f>
        <v>14687</v>
      </c>
      <c r="I418" s="43">
        <v>14473</v>
      </c>
      <c r="J418" s="43"/>
      <c r="K418" s="43"/>
      <c r="L418" s="78">
        <f>SUM(I418:K418)</f>
        <v>14473</v>
      </c>
      <c r="M418" s="114">
        <f t="shared" si="250"/>
        <v>214</v>
      </c>
      <c r="N418" s="115">
        <f t="shared" si="250"/>
        <v>0</v>
      </c>
      <c r="O418" s="114">
        <f t="shared" si="250"/>
        <v>0</v>
      </c>
      <c r="P418" s="116">
        <f>SUM(M418:O418)</f>
        <v>214</v>
      </c>
      <c r="Q418" s="106"/>
    </row>
    <row r="419" spans="1:17" ht="12.75" customHeight="1">
      <c r="A419" s="113" t="s">
        <v>19</v>
      </c>
      <c r="B419" s="102">
        <f>SUM(B420:B421)</f>
        <v>0</v>
      </c>
      <c r="C419" s="102">
        <f>SUM(C420:C421)</f>
        <v>0</v>
      </c>
      <c r="D419" s="102">
        <f>SUM(D420:D421)</f>
        <v>0</v>
      </c>
      <c r="E419" s="102">
        <f t="shared" ref="E419:P419" si="251">SUM(E420:E421)</f>
        <v>0</v>
      </c>
      <c r="F419" s="102">
        <f t="shared" si="251"/>
        <v>0</v>
      </c>
      <c r="G419" s="102">
        <f t="shared" si="251"/>
        <v>0</v>
      </c>
      <c r="H419" s="102">
        <f t="shared" si="251"/>
        <v>0</v>
      </c>
      <c r="I419" s="45">
        <f>SUM(I420:I421)</f>
        <v>0</v>
      </c>
      <c r="J419" s="45">
        <f>SUM(J420:J421)</f>
        <v>0</v>
      </c>
      <c r="K419" s="45">
        <f>SUM(K420:K421)</f>
        <v>0</v>
      </c>
      <c r="L419" s="103">
        <f>SUM(L420:L421)</f>
        <v>0</v>
      </c>
      <c r="M419" s="102">
        <f t="shared" si="251"/>
        <v>0</v>
      </c>
      <c r="N419" s="104">
        <f t="shared" si="251"/>
        <v>0</v>
      </c>
      <c r="O419" s="102">
        <f t="shared" si="251"/>
        <v>0</v>
      </c>
      <c r="P419" s="105">
        <f t="shared" si="251"/>
        <v>0</v>
      </c>
      <c r="Q419" s="106"/>
    </row>
    <row r="420" spans="1:17" ht="12.75" customHeight="1">
      <c r="A420" s="113" t="s">
        <v>20</v>
      </c>
      <c r="B420" s="114"/>
      <c r="C420" s="114"/>
      <c r="D420" s="114">
        <f>+B420+C420</f>
        <v>0</v>
      </c>
      <c r="E420" s="114"/>
      <c r="F420" s="114"/>
      <c r="G420" s="114"/>
      <c r="H420" s="114">
        <f>SUM(E420:G420)</f>
        <v>0</v>
      </c>
      <c r="I420" s="43"/>
      <c r="J420" s="43"/>
      <c r="K420" s="43"/>
      <c r="L420" s="78">
        <f>SUM(I420:K420)</f>
        <v>0</v>
      </c>
      <c r="M420" s="114">
        <f t="shared" ref="M420:O421" si="252">+E420-I420</f>
        <v>0</v>
      </c>
      <c r="N420" s="115">
        <f t="shared" si="252"/>
        <v>0</v>
      </c>
      <c r="O420" s="114">
        <f t="shared" si="252"/>
        <v>0</v>
      </c>
      <c r="P420" s="116">
        <f>SUM(M420:O420)</f>
        <v>0</v>
      </c>
      <c r="Q420" s="106"/>
    </row>
    <row r="421" spans="1:17" ht="12.75" customHeight="1">
      <c r="A421" s="113" t="s">
        <v>21</v>
      </c>
      <c r="B421" s="114"/>
      <c r="C421" s="114"/>
      <c r="D421" s="114">
        <f>+B421+C421</f>
        <v>0</v>
      </c>
      <c r="E421" s="114"/>
      <c r="F421" s="114"/>
      <c r="G421" s="114"/>
      <c r="H421" s="114">
        <f>SUM(E421:G421)</f>
        <v>0</v>
      </c>
      <c r="I421" s="43"/>
      <c r="J421" s="43"/>
      <c r="K421" s="43"/>
      <c r="L421" s="78">
        <f>SUM(I421:K421)</f>
        <v>0</v>
      </c>
      <c r="M421" s="114">
        <f t="shared" si="252"/>
        <v>0</v>
      </c>
      <c r="N421" s="115">
        <f t="shared" si="252"/>
        <v>0</v>
      </c>
      <c r="O421" s="114">
        <f t="shared" si="252"/>
        <v>0</v>
      </c>
      <c r="P421" s="116">
        <f>SUM(M421:O421)</f>
        <v>0</v>
      </c>
      <c r="Q421" s="106"/>
    </row>
    <row r="422" spans="1:17" ht="12.75" customHeight="1">
      <c r="A422" s="121"/>
      <c r="B422" s="122"/>
      <c r="C422" s="122"/>
      <c r="D422" s="122"/>
      <c r="E422" s="114"/>
      <c r="F422" s="114"/>
      <c r="G422" s="114"/>
      <c r="H422" s="114"/>
      <c r="I422" s="43"/>
      <c r="J422" s="43"/>
      <c r="K422" s="43"/>
      <c r="L422" s="78"/>
      <c r="M422" s="114"/>
      <c r="N422" s="115"/>
      <c r="O422" s="114"/>
      <c r="P422" s="116"/>
      <c r="Q422" s="106"/>
    </row>
    <row r="423" spans="1:17" ht="25.5">
      <c r="A423" s="151" t="s">
        <v>267</v>
      </c>
      <c r="B423" s="102">
        <f>+B424+B428</f>
        <v>236821</v>
      </c>
      <c r="C423" s="102">
        <f>+C424+C428</f>
        <v>8654</v>
      </c>
      <c r="D423" s="102">
        <f>+D424+D428</f>
        <v>245475</v>
      </c>
      <c r="E423" s="102">
        <f t="shared" ref="E423:P423" si="253">+E424+E428</f>
        <v>143377</v>
      </c>
      <c r="F423" s="102">
        <f t="shared" si="253"/>
        <v>102275</v>
      </c>
      <c r="G423" s="102">
        <f t="shared" si="253"/>
        <v>32612</v>
      </c>
      <c r="H423" s="102">
        <f t="shared" si="253"/>
        <v>278264</v>
      </c>
      <c r="I423" s="45">
        <f t="shared" si="253"/>
        <v>141520</v>
      </c>
      <c r="J423" s="45">
        <f t="shared" si="253"/>
        <v>102100</v>
      </c>
      <c r="K423" s="45">
        <f t="shared" si="253"/>
        <v>6833</v>
      </c>
      <c r="L423" s="103">
        <f t="shared" si="253"/>
        <v>250453</v>
      </c>
      <c r="M423" s="102">
        <f t="shared" si="253"/>
        <v>1857</v>
      </c>
      <c r="N423" s="104">
        <f t="shared" si="253"/>
        <v>175</v>
      </c>
      <c r="O423" s="102">
        <f t="shared" si="253"/>
        <v>25779</v>
      </c>
      <c r="P423" s="105">
        <f t="shared" si="253"/>
        <v>27811</v>
      </c>
      <c r="Q423" s="106">
        <f>+L423/H423</f>
        <v>0.90005534312738977</v>
      </c>
    </row>
    <row r="424" spans="1:17" ht="12.75" customHeight="1">
      <c r="A424" s="127" t="s">
        <v>15</v>
      </c>
      <c r="B424" s="108">
        <f>SUM(B425:B427)</f>
        <v>236821</v>
      </c>
      <c r="C424" s="108">
        <f>SUM(C425:C427)</f>
        <v>8654</v>
      </c>
      <c r="D424" s="108">
        <f>SUM(D425:D427)</f>
        <v>245475</v>
      </c>
      <c r="E424" s="108">
        <f t="shared" ref="E424:P424" si="254">SUM(E425:E427)</f>
        <v>143377</v>
      </c>
      <c r="F424" s="108">
        <f t="shared" si="254"/>
        <v>102275</v>
      </c>
      <c r="G424" s="108">
        <f t="shared" si="254"/>
        <v>32612</v>
      </c>
      <c r="H424" s="108">
        <f t="shared" si="254"/>
        <v>278264</v>
      </c>
      <c r="I424" s="109">
        <f>SUM(I425:I427)</f>
        <v>141520</v>
      </c>
      <c r="J424" s="109">
        <f>SUM(J425:J427)</f>
        <v>102100</v>
      </c>
      <c r="K424" s="109">
        <f>SUM(K425:K427)</f>
        <v>6833</v>
      </c>
      <c r="L424" s="110">
        <f>SUM(L425:L427)</f>
        <v>250453</v>
      </c>
      <c r="M424" s="108">
        <f t="shared" si="254"/>
        <v>1857</v>
      </c>
      <c r="N424" s="111">
        <f t="shared" si="254"/>
        <v>175</v>
      </c>
      <c r="O424" s="108">
        <f t="shared" si="254"/>
        <v>25779</v>
      </c>
      <c r="P424" s="112">
        <f t="shared" si="254"/>
        <v>27811</v>
      </c>
      <c r="Q424" s="106"/>
    </row>
    <row r="425" spans="1:17" ht="12.75" customHeight="1">
      <c r="A425" s="113" t="s">
        <v>16</v>
      </c>
      <c r="B425" s="114">
        <v>224985</v>
      </c>
      <c r="C425" s="114"/>
      <c r="D425" s="114">
        <f>+B425+C425</f>
        <v>224985</v>
      </c>
      <c r="E425" s="114">
        <v>122710</v>
      </c>
      <c r="F425" s="114">
        <v>102275</v>
      </c>
      <c r="G425" s="114">
        <v>32612</v>
      </c>
      <c r="H425" s="114">
        <f>SUM(E425:G425)</f>
        <v>257597</v>
      </c>
      <c r="I425" s="43">
        <v>122212</v>
      </c>
      <c r="J425" s="43">
        <v>102100</v>
      </c>
      <c r="K425" s="43">
        <v>6833</v>
      </c>
      <c r="L425" s="78">
        <f>SUM(I425:K425)</f>
        <v>231145</v>
      </c>
      <c r="M425" s="114">
        <f t="shared" ref="M425:O427" si="255">+E425-I425</f>
        <v>498</v>
      </c>
      <c r="N425" s="115">
        <f t="shared" si="255"/>
        <v>175</v>
      </c>
      <c r="O425" s="114">
        <f t="shared" si="255"/>
        <v>25779</v>
      </c>
      <c r="P425" s="116">
        <f>SUM(M425:O425)</f>
        <v>26452</v>
      </c>
      <c r="Q425" s="106"/>
    </row>
    <row r="426" spans="1:17" ht="12.75" customHeight="1">
      <c r="A426" s="113" t="s">
        <v>17</v>
      </c>
      <c r="B426" s="114"/>
      <c r="C426" s="114">
        <f>+H426</f>
        <v>8654</v>
      </c>
      <c r="D426" s="114">
        <f>+B426+C426</f>
        <v>8654</v>
      </c>
      <c r="E426" s="114">
        <v>8654</v>
      </c>
      <c r="F426" s="114"/>
      <c r="G426" s="114"/>
      <c r="H426" s="114">
        <f>SUM(E426:G426)</f>
        <v>8654</v>
      </c>
      <c r="I426" s="43">
        <v>7451</v>
      </c>
      <c r="J426" s="43"/>
      <c r="K426" s="43"/>
      <c r="L426" s="78">
        <f>SUM(I426:K426)</f>
        <v>7451</v>
      </c>
      <c r="M426" s="114">
        <f t="shared" si="255"/>
        <v>1203</v>
      </c>
      <c r="N426" s="115">
        <f t="shared" si="255"/>
        <v>0</v>
      </c>
      <c r="O426" s="114">
        <f t="shared" si="255"/>
        <v>0</v>
      </c>
      <c r="P426" s="116">
        <f>SUM(M426:O426)</f>
        <v>1203</v>
      </c>
      <c r="Q426" s="106"/>
    </row>
    <row r="427" spans="1:17" ht="12.75" customHeight="1">
      <c r="A427" s="113" t="s">
        <v>18</v>
      </c>
      <c r="B427" s="114">
        <v>11836</v>
      </c>
      <c r="C427" s="114"/>
      <c r="D427" s="114">
        <f>+B427+C427</f>
        <v>11836</v>
      </c>
      <c r="E427" s="114">
        <v>12013</v>
      </c>
      <c r="F427" s="114"/>
      <c r="G427" s="114"/>
      <c r="H427" s="114">
        <f>SUM(E427:G427)</f>
        <v>12013</v>
      </c>
      <c r="I427" s="43">
        <v>11857</v>
      </c>
      <c r="J427" s="43"/>
      <c r="K427" s="43"/>
      <c r="L427" s="78">
        <f>SUM(I427:K427)</f>
        <v>11857</v>
      </c>
      <c r="M427" s="114">
        <f t="shared" si="255"/>
        <v>156</v>
      </c>
      <c r="N427" s="115">
        <f t="shared" si="255"/>
        <v>0</v>
      </c>
      <c r="O427" s="114">
        <f t="shared" si="255"/>
        <v>0</v>
      </c>
      <c r="P427" s="116">
        <f>SUM(M427:O427)</f>
        <v>156</v>
      </c>
      <c r="Q427" s="106"/>
    </row>
    <row r="428" spans="1:17" ht="12.75" customHeight="1">
      <c r="A428" s="113" t="s">
        <v>19</v>
      </c>
      <c r="B428" s="102">
        <f>SUM(B429:B430)</f>
        <v>0</v>
      </c>
      <c r="C428" s="102">
        <f>SUM(C429:C430)</f>
        <v>0</v>
      </c>
      <c r="D428" s="102">
        <f>SUM(D429:D430)</f>
        <v>0</v>
      </c>
      <c r="E428" s="102">
        <f t="shared" ref="E428:P428" si="256">SUM(E429:E430)</f>
        <v>0</v>
      </c>
      <c r="F428" s="102">
        <f t="shared" si="256"/>
        <v>0</v>
      </c>
      <c r="G428" s="102">
        <f t="shared" si="256"/>
        <v>0</v>
      </c>
      <c r="H428" s="102">
        <f t="shared" si="256"/>
        <v>0</v>
      </c>
      <c r="I428" s="45">
        <f>SUM(I429:I430)</f>
        <v>0</v>
      </c>
      <c r="J428" s="45">
        <f>SUM(J429:J430)</f>
        <v>0</v>
      </c>
      <c r="K428" s="45">
        <f>SUM(K429:K430)</f>
        <v>0</v>
      </c>
      <c r="L428" s="103">
        <f>SUM(L429:L430)</f>
        <v>0</v>
      </c>
      <c r="M428" s="102">
        <f t="shared" si="256"/>
        <v>0</v>
      </c>
      <c r="N428" s="104">
        <f t="shared" si="256"/>
        <v>0</v>
      </c>
      <c r="O428" s="102">
        <f t="shared" si="256"/>
        <v>0</v>
      </c>
      <c r="P428" s="105">
        <f t="shared" si="256"/>
        <v>0</v>
      </c>
      <c r="Q428" s="106"/>
    </row>
    <row r="429" spans="1:17" ht="12.75" customHeight="1">
      <c r="A429" s="113" t="s">
        <v>20</v>
      </c>
      <c r="B429" s="114"/>
      <c r="C429" s="114">
        <f>+H429</f>
        <v>0</v>
      </c>
      <c r="D429" s="114">
        <f>+B429+C429</f>
        <v>0</v>
      </c>
      <c r="E429" s="114"/>
      <c r="F429" s="114"/>
      <c r="G429" s="114"/>
      <c r="H429" s="114">
        <f>SUM(E429:G429)</f>
        <v>0</v>
      </c>
      <c r="I429" s="43"/>
      <c r="J429" s="43"/>
      <c r="K429" s="43"/>
      <c r="L429" s="78">
        <f>SUM(I429:K429)</f>
        <v>0</v>
      </c>
      <c r="M429" s="114">
        <f t="shared" ref="M429:O430" si="257">+E429-I429</f>
        <v>0</v>
      </c>
      <c r="N429" s="115">
        <f t="shared" si="257"/>
        <v>0</v>
      </c>
      <c r="O429" s="114">
        <f t="shared" si="257"/>
        <v>0</v>
      </c>
      <c r="P429" s="116">
        <f>SUM(M429:O429)</f>
        <v>0</v>
      </c>
      <c r="Q429" s="106"/>
    </row>
    <row r="430" spans="1:17" ht="12.75" customHeight="1">
      <c r="A430" s="113" t="s">
        <v>21</v>
      </c>
      <c r="B430" s="114"/>
      <c r="C430" s="114"/>
      <c r="D430" s="114">
        <f>+B430+C430</f>
        <v>0</v>
      </c>
      <c r="E430" s="114"/>
      <c r="F430" s="114"/>
      <c r="G430" s="114"/>
      <c r="H430" s="114">
        <f>SUM(E430:G430)</f>
        <v>0</v>
      </c>
      <c r="I430" s="43"/>
      <c r="J430" s="43"/>
      <c r="K430" s="43"/>
      <c r="L430" s="78">
        <f>SUM(I430:K430)</f>
        <v>0</v>
      </c>
      <c r="M430" s="114">
        <f t="shared" si="257"/>
        <v>0</v>
      </c>
      <c r="N430" s="115">
        <f t="shared" si="257"/>
        <v>0</v>
      </c>
      <c r="O430" s="114">
        <f t="shared" si="257"/>
        <v>0</v>
      </c>
      <c r="P430" s="116">
        <f>SUM(M430:O430)</f>
        <v>0</v>
      </c>
      <c r="Q430" s="106"/>
    </row>
    <row r="431" spans="1:17" ht="12.75" customHeight="1">
      <c r="A431" s="231"/>
      <c r="B431" s="232"/>
      <c r="C431" s="232"/>
      <c r="D431" s="232"/>
      <c r="E431" s="102"/>
      <c r="F431" s="102"/>
      <c r="G431" s="102"/>
      <c r="H431" s="102"/>
      <c r="I431" s="45"/>
      <c r="J431" s="45"/>
      <c r="K431" s="45"/>
      <c r="L431" s="103"/>
      <c r="M431" s="102"/>
      <c r="N431" s="104"/>
      <c r="O431" s="102"/>
      <c r="P431" s="105"/>
      <c r="Q431" s="227"/>
    </row>
    <row r="432" spans="1:17" ht="12.75" customHeight="1">
      <c r="A432" s="135" t="s">
        <v>268</v>
      </c>
      <c r="B432" s="102">
        <f>+B433+B437</f>
        <v>315361</v>
      </c>
      <c r="C432" s="102">
        <f>+C433+C437</f>
        <v>0</v>
      </c>
      <c r="D432" s="102">
        <f>+D433+D437</f>
        <v>315361</v>
      </c>
      <c r="E432" s="102">
        <f t="shared" ref="E432:P432" si="258">+E433+E437</f>
        <v>264872</v>
      </c>
      <c r="F432" s="102">
        <f t="shared" si="258"/>
        <v>61025</v>
      </c>
      <c r="G432" s="102">
        <f t="shared" si="258"/>
        <v>17219</v>
      </c>
      <c r="H432" s="102">
        <f t="shared" si="258"/>
        <v>343116</v>
      </c>
      <c r="I432" s="45">
        <f t="shared" si="258"/>
        <v>264870</v>
      </c>
      <c r="J432" s="45">
        <f t="shared" si="258"/>
        <v>51722</v>
      </c>
      <c r="K432" s="45">
        <f t="shared" si="258"/>
        <v>6856</v>
      </c>
      <c r="L432" s="103">
        <f t="shared" si="258"/>
        <v>323448</v>
      </c>
      <c r="M432" s="102">
        <f t="shared" si="258"/>
        <v>2</v>
      </c>
      <c r="N432" s="104">
        <f t="shared" si="258"/>
        <v>9303</v>
      </c>
      <c r="O432" s="102">
        <f t="shared" si="258"/>
        <v>10363</v>
      </c>
      <c r="P432" s="105">
        <f t="shared" si="258"/>
        <v>19668</v>
      </c>
      <c r="Q432" s="106">
        <f>+L432/H432</f>
        <v>0.94267827790018532</v>
      </c>
    </row>
    <row r="433" spans="1:17" ht="12.75" customHeight="1">
      <c r="A433" s="127" t="s">
        <v>15</v>
      </c>
      <c r="B433" s="108">
        <f>SUM(B434:B436)</f>
        <v>315361</v>
      </c>
      <c r="C433" s="108">
        <f>SUM(C434:C436)</f>
        <v>0</v>
      </c>
      <c r="D433" s="108">
        <f>SUM(D434:D436)</f>
        <v>315361</v>
      </c>
      <c r="E433" s="108">
        <f t="shared" ref="E433:P433" si="259">SUM(E434:E436)</f>
        <v>264872</v>
      </c>
      <c r="F433" s="108">
        <f t="shared" si="259"/>
        <v>61025</v>
      </c>
      <c r="G433" s="108">
        <f t="shared" si="259"/>
        <v>17219</v>
      </c>
      <c r="H433" s="108">
        <f t="shared" si="259"/>
        <v>343116</v>
      </c>
      <c r="I433" s="109">
        <f>SUM(I434:I436)</f>
        <v>264870</v>
      </c>
      <c r="J433" s="109">
        <f>SUM(J434:J436)</f>
        <v>51722</v>
      </c>
      <c r="K433" s="109">
        <f>SUM(K434:K436)</f>
        <v>6856</v>
      </c>
      <c r="L433" s="110">
        <f>SUM(L434:L436)</f>
        <v>323448</v>
      </c>
      <c r="M433" s="108">
        <f t="shared" si="259"/>
        <v>2</v>
      </c>
      <c r="N433" s="111">
        <f t="shared" si="259"/>
        <v>9303</v>
      </c>
      <c r="O433" s="108">
        <f t="shared" si="259"/>
        <v>10363</v>
      </c>
      <c r="P433" s="112">
        <f t="shared" si="259"/>
        <v>19668</v>
      </c>
      <c r="Q433" s="106"/>
    </row>
    <row r="434" spans="1:17" ht="12.75" customHeight="1">
      <c r="A434" s="113" t="s">
        <v>16</v>
      </c>
      <c r="B434" s="114">
        <v>293187</v>
      </c>
      <c r="C434" s="114"/>
      <c r="D434" s="114">
        <f>+B434+C434</f>
        <v>293187</v>
      </c>
      <c r="E434" s="114">
        <v>232162</v>
      </c>
      <c r="F434" s="114">
        <v>61025</v>
      </c>
      <c r="G434" s="114">
        <v>17219</v>
      </c>
      <c r="H434" s="114">
        <f>SUM(E434:G434)</f>
        <v>310406</v>
      </c>
      <c r="I434" s="43">
        <f>232642-480</f>
        <v>232162</v>
      </c>
      <c r="J434" s="43">
        <v>51722</v>
      </c>
      <c r="K434" s="43">
        <v>6856</v>
      </c>
      <c r="L434" s="78">
        <f>SUM(I434:K434)</f>
        <v>290740</v>
      </c>
      <c r="M434" s="114">
        <f t="shared" ref="M434:O436" si="260">+E434-I434</f>
        <v>0</v>
      </c>
      <c r="N434" s="115">
        <f t="shared" si="260"/>
        <v>9303</v>
      </c>
      <c r="O434" s="114">
        <f t="shared" si="260"/>
        <v>10363</v>
      </c>
      <c r="P434" s="116">
        <f>SUM(M434:O434)</f>
        <v>19666</v>
      </c>
      <c r="Q434" s="106"/>
    </row>
    <row r="435" spans="1:17" ht="12.75" customHeight="1">
      <c r="A435" s="113" t="s">
        <v>17</v>
      </c>
      <c r="B435" s="114"/>
      <c r="C435" s="114"/>
      <c r="D435" s="114">
        <f>+B435+C435</f>
        <v>0</v>
      </c>
      <c r="E435" s="114">
        <v>10536</v>
      </c>
      <c r="F435" s="114"/>
      <c r="G435" s="114"/>
      <c r="H435" s="114">
        <f>SUM(E435:G435)</f>
        <v>10536</v>
      </c>
      <c r="I435" s="43">
        <f>10497+39</f>
        <v>10536</v>
      </c>
      <c r="J435" s="43"/>
      <c r="K435" s="43"/>
      <c r="L435" s="78">
        <f>SUM(I435:K435)</f>
        <v>10536</v>
      </c>
      <c r="M435" s="114">
        <f t="shared" si="260"/>
        <v>0</v>
      </c>
      <c r="N435" s="115">
        <f t="shared" si="260"/>
        <v>0</v>
      </c>
      <c r="O435" s="114">
        <f t="shared" si="260"/>
        <v>0</v>
      </c>
      <c r="P435" s="116">
        <f>SUM(M435:O435)</f>
        <v>0</v>
      </c>
      <c r="Q435" s="106"/>
    </row>
    <row r="436" spans="1:17" ht="12.75" customHeight="1">
      <c r="A436" s="113" t="s">
        <v>18</v>
      </c>
      <c r="B436" s="114">
        <v>22174</v>
      </c>
      <c r="C436" s="114"/>
      <c r="D436" s="114">
        <f>+B436+C436</f>
        <v>22174</v>
      </c>
      <c r="E436" s="114">
        <v>22174</v>
      </c>
      <c r="F436" s="114"/>
      <c r="G436" s="114"/>
      <c r="H436" s="114">
        <f>SUM(E436:G436)</f>
        <v>22174</v>
      </c>
      <c r="I436" s="43">
        <f>21731+441</f>
        <v>22172</v>
      </c>
      <c r="J436" s="43"/>
      <c r="K436" s="43"/>
      <c r="L436" s="78">
        <f>SUM(I436:K436)</f>
        <v>22172</v>
      </c>
      <c r="M436" s="114">
        <f t="shared" si="260"/>
        <v>2</v>
      </c>
      <c r="N436" s="115">
        <f t="shared" si="260"/>
        <v>0</v>
      </c>
      <c r="O436" s="114">
        <f t="shared" si="260"/>
        <v>0</v>
      </c>
      <c r="P436" s="116">
        <f>SUM(M436:O436)</f>
        <v>2</v>
      </c>
      <c r="Q436" s="106"/>
    </row>
    <row r="437" spans="1:17" ht="12.75" customHeight="1">
      <c r="A437" s="113" t="s">
        <v>19</v>
      </c>
      <c r="B437" s="102">
        <f>SUM(B438:B439)</f>
        <v>0</v>
      </c>
      <c r="C437" s="102">
        <f>SUM(C438:C439)</f>
        <v>0</v>
      </c>
      <c r="D437" s="102">
        <f>SUM(D438:D439)</f>
        <v>0</v>
      </c>
      <c r="E437" s="102">
        <f t="shared" ref="E437:P437" si="261">SUM(E438:E439)</f>
        <v>0</v>
      </c>
      <c r="F437" s="102">
        <f t="shared" si="261"/>
        <v>0</v>
      </c>
      <c r="G437" s="102">
        <f t="shared" si="261"/>
        <v>0</v>
      </c>
      <c r="H437" s="102">
        <f t="shared" si="261"/>
        <v>0</v>
      </c>
      <c r="I437" s="45">
        <f>SUM(I438:I439)</f>
        <v>0</v>
      </c>
      <c r="J437" s="45">
        <f>SUM(J438:J439)</f>
        <v>0</v>
      </c>
      <c r="K437" s="45">
        <f>SUM(K438:K439)</f>
        <v>0</v>
      </c>
      <c r="L437" s="103">
        <f>SUM(L438:L439)</f>
        <v>0</v>
      </c>
      <c r="M437" s="102">
        <f t="shared" si="261"/>
        <v>0</v>
      </c>
      <c r="N437" s="104">
        <f t="shared" si="261"/>
        <v>0</v>
      </c>
      <c r="O437" s="102">
        <f t="shared" si="261"/>
        <v>0</v>
      </c>
      <c r="P437" s="105">
        <f t="shared" si="261"/>
        <v>0</v>
      </c>
      <c r="Q437" s="106"/>
    </row>
    <row r="438" spans="1:17" ht="12.75" customHeight="1">
      <c r="A438" s="113" t="s">
        <v>20</v>
      </c>
      <c r="B438" s="114"/>
      <c r="C438" s="114">
        <f>+H438</f>
        <v>0</v>
      </c>
      <c r="D438" s="114">
        <f>+B438+C438</f>
        <v>0</v>
      </c>
      <c r="E438" s="114"/>
      <c r="F438" s="114"/>
      <c r="G438" s="114"/>
      <c r="H438" s="114">
        <f>SUM(E438:G438)</f>
        <v>0</v>
      </c>
      <c r="I438" s="43"/>
      <c r="J438" s="43"/>
      <c r="K438" s="43"/>
      <c r="L438" s="78">
        <f>SUM(I438:K438)</f>
        <v>0</v>
      </c>
      <c r="M438" s="114">
        <f t="shared" ref="M438:O439" si="262">+E438-I438</f>
        <v>0</v>
      </c>
      <c r="N438" s="115">
        <f t="shared" si="262"/>
        <v>0</v>
      </c>
      <c r="O438" s="114">
        <f t="shared" si="262"/>
        <v>0</v>
      </c>
      <c r="P438" s="116">
        <f>SUM(M438:O438)</f>
        <v>0</v>
      </c>
      <c r="Q438" s="106"/>
    </row>
    <row r="439" spans="1:17" ht="12.75" customHeight="1">
      <c r="A439" s="113" t="s">
        <v>21</v>
      </c>
      <c r="B439" s="114"/>
      <c r="C439" s="114"/>
      <c r="D439" s="114">
        <f>+B439+C439</f>
        <v>0</v>
      </c>
      <c r="E439" s="114"/>
      <c r="F439" s="114"/>
      <c r="G439" s="114"/>
      <c r="H439" s="114">
        <f>SUM(E439:G439)</f>
        <v>0</v>
      </c>
      <c r="I439" s="43"/>
      <c r="J439" s="43"/>
      <c r="K439" s="43"/>
      <c r="L439" s="78">
        <f>SUM(I439:K439)</f>
        <v>0</v>
      </c>
      <c r="M439" s="114">
        <f t="shared" si="262"/>
        <v>0</v>
      </c>
      <c r="N439" s="115">
        <f t="shared" si="262"/>
        <v>0</v>
      </c>
      <c r="O439" s="114">
        <f t="shared" si="262"/>
        <v>0</v>
      </c>
      <c r="P439" s="116">
        <f>SUM(M439:O439)</f>
        <v>0</v>
      </c>
      <c r="Q439" s="106"/>
    </row>
    <row r="440" spans="1:17" ht="12.75" customHeight="1">
      <c r="A440" s="225"/>
      <c r="B440" s="226"/>
      <c r="C440" s="226"/>
      <c r="D440" s="226"/>
      <c r="E440" s="102"/>
      <c r="F440" s="102"/>
      <c r="G440" s="102"/>
      <c r="H440" s="102"/>
      <c r="I440" s="74"/>
      <c r="J440" s="74"/>
      <c r="K440" s="74"/>
      <c r="L440" s="138"/>
      <c r="M440" s="102"/>
      <c r="N440" s="104"/>
      <c r="O440" s="102"/>
      <c r="P440" s="105"/>
      <c r="Q440" s="227"/>
    </row>
    <row r="441" spans="1:17" ht="12.75" customHeight="1">
      <c r="A441" s="149" t="s">
        <v>269</v>
      </c>
      <c r="B441" s="102">
        <f>+B442+B446</f>
        <v>968186</v>
      </c>
      <c r="C441" s="102">
        <f>+C442+C446</f>
        <v>100852</v>
      </c>
      <c r="D441" s="102">
        <f>+D442+D446</f>
        <v>1069038</v>
      </c>
      <c r="E441" s="102">
        <f t="shared" ref="E441:P441" si="263">+E442+E446</f>
        <v>707766</v>
      </c>
      <c r="F441" s="102">
        <f t="shared" si="263"/>
        <v>345951</v>
      </c>
      <c r="G441" s="102">
        <f t="shared" si="263"/>
        <v>85436</v>
      </c>
      <c r="H441" s="102">
        <f t="shared" si="263"/>
        <v>1139153</v>
      </c>
      <c r="I441" s="139">
        <f>+I442+I446</f>
        <v>699837</v>
      </c>
      <c r="J441" s="139">
        <f>+J442+J446</f>
        <v>319251</v>
      </c>
      <c r="K441" s="139">
        <f>+K442+K446</f>
        <v>35674</v>
      </c>
      <c r="L441" s="139">
        <f>+L442+L446</f>
        <v>1054762</v>
      </c>
      <c r="M441" s="102">
        <f t="shared" si="263"/>
        <v>7929</v>
      </c>
      <c r="N441" s="104">
        <f t="shared" si="263"/>
        <v>26700</v>
      </c>
      <c r="O441" s="102">
        <f t="shared" si="263"/>
        <v>49762</v>
      </c>
      <c r="P441" s="105">
        <f t="shared" si="263"/>
        <v>84391</v>
      </c>
      <c r="Q441" s="106">
        <f>+L441/H441</f>
        <v>0.92591776521678826</v>
      </c>
    </row>
    <row r="442" spans="1:17" ht="12.75" customHeight="1">
      <c r="A442" s="127" t="s">
        <v>15</v>
      </c>
      <c r="B442" s="108">
        <f>SUM(B443:B445)</f>
        <v>968186</v>
      </c>
      <c r="C442" s="108">
        <f>SUM(C443:C445)</f>
        <v>100852</v>
      </c>
      <c r="D442" s="108">
        <f>SUM(D443:D445)</f>
        <v>1069038</v>
      </c>
      <c r="E442" s="108">
        <f t="shared" ref="E442:P442" si="264">SUM(E443:E445)</f>
        <v>707766</v>
      </c>
      <c r="F442" s="108">
        <f t="shared" si="264"/>
        <v>345951</v>
      </c>
      <c r="G442" s="108">
        <f t="shared" si="264"/>
        <v>85436</v>
      </c>
      <c r="H442" s="108">
        <f t="shared" si="264"/>
        <v>1139153</v>
      </c>
      <c r="I442" s="141">
        <f>SUM(I443:I445)</f>
        <v>699837</v>
      </c>
      <c r="J442" s="141">
        <f>SUM(J443:J445)</f>
        <v>319251</v>
      </c>
      <c r="K442" s="141">
        <f>SUM(K443:K445)</f>
        <v>35674</v>
      </c>
      <c r="L442" s="141">
        <f>SUM(L443:L445)</f>
        <v>1054762</v>
      </c>
      <c r="M442" s="108">
        <f t="shared" si="264"/>
        <v>7929</v>
      </c>
      <c r="N442" s="111">
        <f t="shared" si="264"/>
        <v>26700</v>
      </c>
      <c r="O442" s="108">
        <f t="shared" si="264"/>
        <v>49762</v>
      </c>
      <c r="P442" s="112">
        <f t="shared" si="264"/>
        <v>84391</v>
      </c>
      <c r="Q442" s="106"/>
    </row>
    <row r="443" spans="1:17" ht="12.75" customHeight="1">
      <c r="A443" s="113" t="s">
        <v>16</v>
      </c>
      <c r="B443" s="114">
        <f t="shared" ref="B443:G445" si="265">+B452+B461+B470+B479+B488+B497</f>
        <v>913602</v>
      </c>
      <c r="C443" s="114">
        <f t="shared" si="265"/>
        <v>18425</v>
      </c>
      <c r="D443" s="114">
        <f t="shared" si="265"/>
        <v>932027</v>
      </c>
      <c r="E443" s="114">
        <f t="shared" si="265"/>
        <v>585564</v>
      </c>
      <c r="F443" s="114">
        <f t="shared" si="265"/>
        <v>311715</v>
      </c>
      <c r="G443" s="114">
        <f t="shared" si="265"/>
        <v>85436</v>
      </c>
      <c r="H443" s="114">
        <f>SUM(E443:G443)</f>
        <v>982715</v>
      </c>
      <c r="I443" s="143">
        <f t="shared" ref="I443:K445" si="266">+I452+I461+I470+I479+I488+I497</f>
        <v>580225</v>
      </c>
      <c r="J443" s="143">
        <f t="shared" si="266"/>
        <v>288882</v>
      </c>
      <c r="K443" s="143">
        <f t="shared" si="266"/>
        <v>35674</v>
      </c>
      <c r="L443" s="143">
        <f>SUM(I443:K443)</f>
        <v>904781</v>
      </c>
      <c r="M443" s="114">
        <f t="shared" ref="M443:O445" si="267">+E443-I443</f>
        <v>5339</v>
      </c>
      <c r="N443" s="115">
        <f t="shared" si="267"/>
        <v>22833</v>
      </c>
      <c r="O443" s="114">
        <f t="shared" si="267"/>
        <v>49762</v>
      </c>
      <c r="P443" s="116">
        <f>SUM(M443:O443)</f>
        <v>77934</v>
      </c>
      <c r="Q443" s="106"/>
    </row>
    <row r="444" spans="1:17" ht="12.75" customHeight="1">
      <c r="A444" s="113" t="s">
        <v>17</v>
      </c>
      <c r="B444" s="114">
        <f t="shared" si="265"/>
        <v>0</v>
      </c>
      <c r="C444" s="114">
        <f t="shared" si="265"/>
        <v>82427</v>
      </c>
      <c r="D444" s="114">
        <f t="shared" si="265"/>
        <v>82427</v>
      </c>
      <c r="E444" s="114">
        <f t="shared" si="265"/>
        <v>64363</v>
      </c>
      <c r="F444" s="114">
        <f t="shared" si="265"/>
        <v>34236</v>
      </c>
      <c r="G444" s="114">
        <f t="shared" si="265"/>
        <v>0</v>
      </c>
      <c r="H444" s="114">
        <f>SUM(E444:G444)</f>
        <v>98599</v>
      </c>
      <c r="I444" s="143">
        <f t="shared" si="266"/>
        <v>63966</v>
      </c>
      <c r="J444" s="143">
        <f t="shared" si="266"/>
        <v>30369</v>
      </c>
      <c r="K444" s="143">
        <f t="shared" si="266"/>
        <v>0</v>
      </c>
      <c r="L444" s="143">
        <f>SUM(I444:K444)</f>
        <v>94335</v>
      </c>
      <c r="M444" s="114">
        <f t="shared" si="267"/>
        <v>397</v>
      </c>
      <c r="N444" s="115">
        <f t="shared" si="267"/>
        <v>3867</v>
      </c>
      <c r="O444" s="114">
        <f t="shared" si="267"/>
        <v>0</v>
      </c>
      <c r="P444" s="116">
        <f>SUM(M444:O444)</f>
        <v>4264</v>
      </c>
      <c r="Q444" s="106"/>
    </row>
    <row r="445" spans="1:17" ht="12.75" customHeight="1">
      <c r="A445" s="113" t="s">
        <v>18</v>
      </c>
      <c r="B445" s="114">
        <f t="shared" si="265"/>
        <v>54584</v>
      </c>
      <c r="C445" s="114">
        <f t="shared" si="265"/>
        <v>0</v>
      </c>
      <c r="D445" s="114">
        <f t="shared" si="265"/>
        <v>54584</v>
      </c>
      <c r="E445" s="114">
        <f t="shared" si="265"/>
        <v>57839</v>
      </c>
      <c r="F445" s="114">
        <f t="shared" si="265"/>
        <v>0</v>
      </c>
      <c r="G445" s="114">
        <f t="shared" si="265"/>
        <v>0</v>
      </c>
      <c r="H445" s="114">
        <f>SUM(E445:G445)</f>
        <v>57839</v>
      </c>
      <c r="I445" s="143">
        <f t="shared" si="266"/>
        <v>55646</v>
      </c>
      <c r="J445" s="143">
        <f t="shared" si="266"/>
        <v>0</v>
      </c>
      <c r="K445" s="143">
        <f t="shared" si="266"/>
        <v>0</v>
      </c>
      <c r="L445" s="143">
        <f>SUM(I445:K445)</f>
        <v>55646</v>
      </c>
      <c r="M445" s="114">
        <f t="shared" si="267"/>
        <v>2193</v>
      </c>
      <c r="N445" s="115">
        <f t="shared" si="267"/>
        <v>0</v>
      </c>
      <c r="O445" s="114">
        <f t="shared" si="267"/>
        <v>0</v>
      </c>
      <c r="P445" s="116">
        <f>SUM(M445:O445)</f>
        <v>2193</v>
      </c>
      <c r="Q445" s="106"/>
    </row>
    <row r="446" spans="1:17" ht="12.75" customHeight="1">
      <c r="A446" s="113" t="s">
        <v>19</v>
      </c>
      <c r="B446" s="102">
        <f>SUM(B447:B448)</f>
        <v>0</v>
      </c>
      <c r="C446" s="102">
        <f>SUM(C447:C448)</f>
        <v>0</v>
      </c>
      <c r="D446" s="102">
        <f>SUM(D447:D448)</f>
        <v>0</v>
      </c>
      <c r="E446" s="102">
        <f t="shared" ref="E446:P446" si="268">SUM(E447:E448)</f>
        <v>0</v>
      </c>
      <c r="F446" s="102">
        <f t="shared" si="268"/>
        <v>0</v>
      </c>
      <c r="G446" s="102">
        <f t="shared" si="268"/>
        <v>0</v>
      </c>
      <c r="H446" s="102">
        <f t="shared" si="268"/>
        <v>0</v>
      </c>
      <c r="I446" s="139">
        <f>SUM(I447:I448)</f>
        <v>0</v>
      </c>
      <c r="J446" s="139">
        <f>SUM(J447:J448)</f>
        <v>0</v>
      </c>
      <c r="K446" s="139">
        <f>SUM(K447:K448)</f>
        <v>0</v>
      </c>
      <c r="L446" s="139">
        <f>SUM(L447:L448)</f>
        <v>0</v>
      </c>
      <c r="M446" s="102">
        <f t="shared" si="268"/>
        <v>0</v>
      </c>
      <c r="N446" s="104">
        <f t="shared" si="268"/>
        <v>0</v>
      </c>
      <c r="O446" s="102">
        <f t="shared" si="268"/>
        <v>0</v>
      </c>
      <c r="P446" s="105">
        <f t="shared" si="268"/>
        <v>0</v>
      </c>
      <c r="Q446" s="106"/>
    </row>
    <row r="447" spans="1:17" ht="12.75" customHeight="1">
      <c r="A447" s="113" t="s">
        <v>20</v>
      </c>
      <c r="B447" s="114">
        <f t="shared" ref="B447:G448" si="269">+B456+B465+B474+B483+B492+B501</f>
        <v>0</v>
      </c>
      <c r="C447" s="114">
        <f t="shared" si="269"/>
        <v>0</v>
      </c>
      <c r="D447" s="114">
        <f t="shared" si="269"/>
        <v>0</v>
      </c>
      <c r="E447" s="114">
        <f t="shared" si="269"/>
        <v>0</v>
      </c>
      <c r="F447" s="114">
        <f t="shared" si="269"/>
        <v>0</v>
      </c>
      <c r="G447" s="114">
        <f t="shared" si="269"/>
        <v>0</v>
      </c>
      <c r="H447" s="114">
        <f>SUM(E447:G447)</f>
        <v>0</v>
      </c>
      <c r="I447" s="143">
        <f t="shared" ref="I447:K448" si="270">+I456+I465+I474+I483+I492+I501</f>
        <v>0</v>
      </c>
      <c r="J447" s="143">
        <f t="shared" si="270"/>
        <v>0</v>
      </c>
      <c r="K447" s="143">
        <f t="shared" si="270"/>
        <v>0</v>
      </c>
      <c r="L447" s="143">
        <f>SUM(I447:K447)</f>
        <v>0</v>
      </c>
      <c r="M447" s="114">
        <f t="shared" ref="M447:O448" si="271">+E447-I447</f>
        <v>0</v>
      </c>
      <c r="N447" s="115">
        <f t="shared" si="271"/>
        <v>0</v>
      </c>
      <c r="O447" s="114">
        <f t="shared" si="271"/>
        <v>0</v>
      </c>
      <c r="P447" s="116">
        <f>SUM(M447:O447)</f>
        <v>0</v>
      </c>
      <c r="Q447" s="106"/>
    </row>
    <row r="448" spans="1:17" ht="12.75" customHeight="1">
      <c r="A448" s="113" t="s">
        <v>21</v>
      </c>
      <c r="B448" s="114">
        <f t="shared" si="269"/>
        <v>0</v>
      </c>
      <c r="C448" s="114">
        <f t="shared" si="269"/>
        <v>0</v>
      </c>
      <c r="D448" s="114">
        <f t="shared" si="269"/>
        <v>0</v>
      </c>
      <c r="E448" s="114">
        <f t="shared" si="269"/>
        <v>0</v>
      </c>
      <c r="F448" s="114">
        <f t="shared" si="269"/>
        <v>0</v>
      </c>
      <c r="G448" s="114">
        <f t="shared" si="269"/>
        <v>0</v>
      </c>
      <c r="H448" s="114">
        <f>SUM(E448:G448)</f>
        <v>0</v>
      </c>
      <c r="I448" s="143">
        <f t="shared" si="270"/>
        <v>0</v>
      </c>
      <c r="J448" s="143">
        <f t="shared" si="270"/>
        <v>0</v>
      </c>
      <c r="K448" s="143">
        <f t="shared" si="270"/>
        <v>0</v>
      </c>
      <c r="L448" s="143">
        <f>SUM(I448:K448)</f>
        <v>0</v>
      </c>
      <c r="M448" s="114">
        <f t="shared" si="271"/>
        <v>0</v>
      </c>
      <c r="N448" s="115">
        <f t="shared" si="271"/>
        <v>0</v>
      </c>
      <c r="O448" s="114">
        <f t="shared" si="271"/>
        <v>0</v>
      </c>
      <c r="P448" s="116">
        <f>SUM(M448:O448)</f>
        <v>0</v>
      </c>
      <c r="Q448" s="106"/>
    </row>
    <row r="449" spans="1:17" ht="12.75" customHeight="1">
      <c r="A449" s="149"/>
      <c r="B449" s="150"/>
      <c r="C449" s="150"/>
      <c r="D449" s="150"/>
      <c r="E449" s="114"/>
      <c r="F449" s="114"/>
      <c r="G449" s="114"/>
      <c r="H449" s="114"/>
      <c r="I449" s="43"/>
      <c r="J449" s="43"/>
      <c r="K449" s="43"/>
      <c r="L449" s="78"/>
      <c r="M449" s="114"/>
      <c r="N449" s="115"/>
      <c r="O449" s="114"/>
      <c r="P449" s="116"/>
      <c r="Q449" s="106"/>
    </row>
    <row r="450" spans="1:17" ht="12.75" customHeight="1">
      <c r="A450" s="120" t="s">
        <v>270</v>
      </c>
      <c r="B450" s="102">
        <f>+B451+B455</f>
        <v>103721</v>
      </c>
      <c r="C450" s="102">
        <f>+C451+C455</f>
        <v>6269</v>
      </c>
      <c r="D450" s="102">
        <f>+D451+D455</f>
        <v>109990</v>
      </c>
      <c r="E450" s="102">
        <f t="shared" ref="E450:P450" si="272">+E451+E455</f>
        <v>75123</v>
      </c>
      <c r="F450" s="102">
        <f t="shared" si="272"/>
        <v>35069</v>
      </c>
      <c r="G450" s="102">
        <f t="shared" si="272"/>
        <v>0</v>
      </c>
      <c r="H450" s="102">
        <f t="shared" si="272"/>
        <v>110192</v>
      </c>
      <c r="I450" s="45">
        <f t="shared" si="272"/>
        <v>73781</v>
      </c>
      <c r="J450" s="45">
        <f t="shared" si="272"/>
        <v>33918</v>
      </c>
      <c r="K450" s="45">
        <f t="shared" si="272"/>
        <v>0</v>
      </c>
      <c r="L450" s="103">
        <f t="shared" si="272"/>
        <v>107699</v>
      </c>
      <c r="M450" s="102">
        <f t="shared" si="272"/>
        <v>1342</v>
      </c>
      <c r="N450" s="104">
        <f t="shared" si="272"/>
        <v>1151</v>
      </c>
      <c r="O450" s="102">
        <f t="shared" si="272"/>
        <v>0</v>
      </c>
      <c r="P450" s="105">
        <f t="shared" si="272"/>
        <v>2493</v>
      </c>
      <c r="Q450" s="106">
        <f>+L450/H450</f>
        <v>0.97737585305648322</v>
      </c>
    </row>
    <row r="451" spans="1:17" ht="12.75" customHeight="1">
      <c r="A451" s="127" t="s">
        <v>15</v>
      </c>
      <c r="B451" s="108">
        <f>SUM(B452:B454)</f>
        <v>103721</v>
      </c>
      <c r="C451" s="108">
        <f>SUM(C452:C454)</f>
        <v>6269</v>
      </c>
      <c r="D451" s="108">
        <f>SUM(D452:D454)</f>
        <v>109990</v>
      </c>
      <c r="E451" s="108">
        <f t="shared" ref="E451:P451" si="273">SUM(E452:E454)</f>
        <v>75123</v>
      </c>
      <c r="F451" s="108">
        <f t="shared" si="273"/>
        <v>35069</v>
      </c>
      <c r="G451" s="108">
        <f t="shared" si="273"/>
        <v>0</v>
      </c>
      <c r="H451" s="108">
        <f t="shared" si="273"/>
        <v>110192</v>
      </c>
      <c r="I451" s="109">
        <f>SUM(I452:I454)</f>
        <v>73781</v>
      </c>
      <c r="J451" s="109">
        <f>SUM(J452:J454)</f>
        <v>33918</v>
      </c>
      <c r="K451" s="109">
        <f>SUM(K452:K454)</f>
        <v>0</v>
      </c>
      <c r="L451" s="110">
        <f>SUM(L452:L454)</f>
        <v>107699</v>
      </c>
      <c r="M451" s="108">
        <f t="shared" si="273"/>
        <v>1342</v>
      </c>
      <c r="N451" s="111">
        <f t="shared" si="273"/>
        <v>1151</v>
      </c>
      <c r="O451" s="108">
        <f t="shared" si="273"/>
        <v>0</v>
      </c>
      <c r="P451" s="112">
        <f t="shared" si="273"/>
        <v>2493</v>
      </c>
      <c r="Q451" s="106"/>
    </row>
    <row r="452" spans="1:17" ht="12.75" customHeight="1">
      <c r="A452" s="113" t="s">
        <v>16</v>
      </c>
      <c r="B452" s="114">
        <v>97727</v>
      </c>
      <c r="C452" s="114"/>
      <c r="D452" s="114">
        <f>+B452+C452</f>
        <v>97727</v>
      </c>
      <c r="E452" s="114">
        <v>62658</v>
      </c>
      <c r="F452" s="114">
        <v>35069</v>
      </c>
      <c r="G452" s="114"/>
      <c r="H452" s="114">
        <f>SUM(E452:G452)</f>
        <v>97727</v>
      </c>
      <c r="I452" s="43">
        <v>62298</v>
      </c>
      <c r="J452" s="43">
        <v>33918</v>
      </c>
      <c r="K452" s="43"/>
      <c r="L452" s="78">
        <f>SUM(I452:K452)</f>
        <v>96216</v>
      </c>
      <c r="M452" s="114">
        <f t="shared" ref="M452:O454" si="274">+E452-I452</f>
        <v>360</v>
      </c>
      <c r="N452" s="115">
        <f t="shared" si="274"/>
        <v>1151</v>
      </c>
      <c r="O452" s="114">
        <f t="shared" si="274"/>
        <v>0</v>
      </c>
      <c r="P452" s="116">
        <f>SUM(M452:O452)</f>
        <v>1511</v>
      </c>
      <c r="Q452" s="106"/>
    </row>
    <row r="453" spans="1:17" ht="12.75" customHeight="1">
      <c r="A453" s="113" t="s">
        <v>17</v>
      </c>
      <c r="B453" s="114"/>
      <c r="C453" s="114">
        <f>+H453</f>
        <v>6269</v>
      </c>
      <c r="D453" s="114">
        <f>+B453+C453</f>
        <v>6269</v>
      </c>
      <c r="E453" s="114">
        <v>6269</v>
      </c>
      <c r="F453" s="114"/>
      <c r="G453" s="114"/>
      <c r="H453" s="114">
        <f>SUM(E453:G453)</f>
        <v>6269</v>
      </c>
      <c r="I453" s="43">
        <v>6225</v>
      </c>
      <c r="J453" s="43"/>
      <c r="K453" s="43"/>
      <c r="L453" s="78">
        <f>SUM(I453:K453)</f>
        <v>6225</v>
      </c>
      <c r="M453" s="114">
        <f t="shared" si="274"/>
        <v>44</v>
      </c>
      <c r="N453" s="115">
        <f t="shared" si="274"/>
        <v>0</v>
      </c>
      <c r="O453" s="114">
        <f t="shared" si="274"/>
        <v>0</v>
      </c>
      <c r="P453" s="116">
        <f>SUM(M453:O453)</f>
        <v>44</v>
      </c>
      <c r="Q453" s="106"/>
    </row>
    <row r="454" spans="1:17" ht="12.75" customHeight="1">
      <c r="A454" s="113" t="s">
        <v>18</v>
      </c>
      <c r="B454" s="114">
        <v>5994</v>
      </c>
      <c r="C454" s="114"/>
      <c r="D454" s="114">
        <f>+B454+C454</f>
        <v>5994</v>
      </c>
      <c r="E454" s="114">
        <v>6196</v>
      </c>
      <c r="F454" s="114"/>
      <c r="G454" s="114"/>
      <c r="H454" s="114">
        <f>SUM(E454:G454)</f>
        <v>6196</v>
      </c>
      <c r="I454" s="43">
        <v>5258</v>
      </c>
      <c r="J454" s="43"/>
      <c r="K454" s="43"/>
      <c r="L454" s="78">
        <f>SUM(I454:K454)</f>
        <v>5258</v>
      </c>
      <c r="M454" s="114">
        <f t="shared" si="274"/>
        <v>938</v>
      </c>
      <c r="N454" s="115">
        <f t="shared" si="274"/>
        <v>0</v>
      </c>
      <c r="O454" s="114">
        <f t="shared" si="274"/>
        <v>0</v>
      </c>
      <c r="P454" s="116">
        <f>SUM(M454:O454)</f>
        <v>938</v>
      </c>
      <c r="Q454" s="106"/>
    </row>
    <row r="455" spans="1:17" ht="12.75" customHeight="1">
      <c r="A455" s="113" t="s">
        <v>19</v>
      </c>
      <c r="B455" s="102">
        <f>SUM(B456:B457)</f>
        <v>0</v>
      </c>
      <c r="C455" s="102">
        <f>SUM(C456:C457)</f>
        <v>0</v>
      </c>
      <c r="D455" s="102">
        <f>SUM(D456:D457)</f>
        <v>0</v>
      </c>
      <c r="E455" s="102">
        <f t="shared" ref="E455:P455" si="275">SUM(E456:E457)</f>
        <v>0</v>
      </c>
      <c r="F455" s="102">
        <f t="shared" si="275"/>
        <v>0</v>
      </c>
      <c r="G455" s="102">
        <f t="shared" si="275"/>
        <v>0</v>
      </c>
      <c r="H455" s="102">
        <f t="shared" si="275"/>
        <v>0</v>
      </c>
      <c r="I455" s="45">
        <f>SUM(I456:I457)</f>
        <v>0</v>
      </c>
      <c r="J455" s="45">
        <f>SUM(J456:J457)</f>
        <v>0</v>
      </c>
      <c r="K455" s="45">
        <f>SUM(K456:K457)</f>
        <v>0</v>
      </c>
      <c r="L455" s="103">
        <f>SUM(L456:L457)</f>
        <v>0</v>
      </c>
      <c r="M455" s="102">
        <f t="shared" si="275"/>
        <v>0</v>
      </c>
      <c r="N455" s="104">
        <f t="shared" si="275"/>
        <v>0</v>
      </c>
      <c r="O455" s="102">
        <f t="shared" si="275"/>
        <v>0</v>
      </c>
      <c r="P455" s="105">
        <f t="shared" si="275"/>
        <v>0</v>
      </c>
      <c r="Q455" s="106"/>
    </row>
    <row r="456" spans="1:17" ht="12.75" customHeight="1">
      <c r="A456" s="113" t="s">
        <v>20</v>
      </c>
      <c r="B456" s="114"/>
      <c r="C456" s="114"/>
      <c r="D456" s="114">
        <f>+B456+C456</f>
        <v>0</v>
      </c>
      <c r="E456" s="114"/>
      <c r="F456" s="114"/>
      <c r="G456" s="114"/>
      <c r="H456" s="114">
        <f>SUM(E456:G456)</f>
        <v>0</v>
      </c>
      <c r="I456" s="43"/>
      <c r="J456" s="43"/>
      <c r="K456" s="43"/>
      <c r="L456" s="78">
        <f>SUM(I456:K456)</f>
        <v>0</v>
      </c>
      <c r="M456" s="114">
        <f t="shared" ref="M456:O457" si="276">+E456-I456</f>
        <v>0</v>
      </c>
      <c r="N456" s="115">
        <f t="shared" si="276"/>
        <v>0</v>
      </c>
      <c r="O456" s="114">
        <f t="shared" si="276"/>
        <v>0</v>
      </c>
      <c r="P456" s="116">
        <f>SUM(M456:O456)</f>
        <v>0</v>
      </c>
      <c r="Q456" s="106"/>
    </row>
    <row r="457" spans="1:17" ht="12.75" customHeight="1">
      <c r="A457" s="113" t="s">
        <v>21</v>
      </c>
      <c r="B457" s="114"/>
      <c r="C457" s="114">
        <f>+H457</f>
        <v>0</v>
      </c>
      <c r="D457" s="114">
        <f>+B457+C457</f>
        <v>0</v>
      </c>
      <c r="E457" s="114"/>
      <c r="F457" s="114"/>
      <c r="G457" s="114"/>
      <c r="H457" s="114">
        <f>SUM(E457:G457)</f>
        <v>0</v>
      </c>
      <c r="I457" s="43"/>
      <c r="J457" s="43"/>
      <c r="K457" s="43"/>
      <c r="L457" s="78">
        <f>SUM(I457:K457)</f>
        <v>0</v>
      </c>
      <c r="M457" s="114">
        <f t="shared" si="276"/>
        <v>0</v>
      </c>
      <c r="N457" s="115">
        <f t="shared" si="276"/>
        <v>0</v>
      </c>
      <c r="O457" s="114">
        <f t="shared" si="276"/>
        <v>0</v>
      </c>
      <c r="P457" s="116">
        <f>SUM(M457:O457)</f>
        <v>0</v>
      </c>
      <c r="Q457" s="106"/>
    </row>
    <row r="458" spans="1:17" ht="12.75" customHeight="1">
      <c r="A458" s="121"/>
      <c r="B458" s="122"/>
      <c r="C458" s="122"/>
      <c r="D458" s="122"/>
      <c r="E458" s="114"/>
      <c r="F458" s="114"/>
      <c r="G458" s="114"/>
      <c r="H458" s="114"/>
      <c r="I458" s="43"/>
      <c r="J458" s="43"/>
      <c r="K458" s="43"/>
      <c r="L458" s="78"/>
      <c r="M458" s="114"/>
      <c r="N458" s="115"/>
      <c r="O458" s="114"/>
      <c r="P458" s="116"/>
      <c r="Q458" s="106"/>
    </row>
    <row r="459" spans="1:17" ht="12.75" customHeight="1">
      <c r="A459" s="120" t="s">
        <v>271</v>
      </c>
      <c r="B459" s="102">
        <f>+B460+B464</f>
        <v>129670</v>
      </c>
      <c r="C459" s="102">
        <f>+C460+C464</f>
        <v>0</v>
      </c>
      <c r="D459" s="102">
        <f>+D460+D464</f>
        <v>129670</v>
      </c>
      <c r="E459" s="102">
        <f t="shared" ref="E459:P459" si="277">+E460+E464</f>
        <v>95502</v>
      </c>
      <c r="F459" s="102">
        <f t="shared" si="277"/>
        <v>50084</v>
      </c>
      <c r="G459" s="102">
        <f t="shared" si="277"/>
        <v>7242</v>
      </c>
      <c r="H459" s="102">
        <f t="shared" si="277"/>
        <v>152828</v>
      </c>
      <c r="I459" s="45">
        <f t="shared" si="277"/>
        <v>94904</v>
      </c>
      <c r="J459" s="45">
        <f t="shared" si="277"/>
        <v>49997</v>
      </c>
      <c r="K459" s="45">
        <f t="shared" si="277"/>
        <v>7242</v>
      </c>
      <c r="L459" s="103">
        <f t="shared" si="277"/>
        <v>152143</v>
      </c>
      <c r="M459" s="102">
        <f t="shared" si="277"/>
        <v>598</v>
      </c>
      <c r="N459" s="104">
        <f t="shared" si="277"/>
        <v>87</v>
      </c>
      <c r="O459" s="102">
        <f t="shared" si="277"/>
        <v>0</v>
      </c>
      <c r="P459" s="105">
        <f t="shared" si="277"/>
        <v>685</v>
      </c>
      <c r="Q459" s="106">
        <f>+L459/H459</f>
        <v>0.99551783704556751</v>
      </c>
    </row>
    <row r="460" spans="1:17" ht="12.75" customHeight="1">
      <c r="A460" s="127" t="s">
        <v>15</v>
      </c>
      <c r="B460" s="108">
        <f>SUM(B461:B463)</f>
        <v>129670</v>
      </c>
      <c r="C460" s="108">
        <f>SUM(C461:C463)</f>
        <v>0</v>
      </c>
      <c r="D460" s="108">
        <f>SUM(D461:D463)</f>
        <v>129670</v>
      </c>
      <c r="E460" s="108">
        <f t="shared" ref="E460:P460" si="278">SUM(E461:E463)</f>
        <v>95502</v>
      </c>
      <c r="F460" s="108">
        <f t="shared" si="278"/>
        <v>50084</v>
      </c>
      <c r="G460" s="108">
        <f t="shared" si="278"/>
        <v>7242</v>
      </c>
      <c r="H460" s="108">
        <f t="shared" si="278"/>
        <v>152828</v>
      </c>
      <c r="I460" s="109">
        <f>SUM(I461:I463)</f>
        <v>94904</v>
      </c>
      <c r="J460" s="109">
        <f>SUM(J461:J463)</f>
        <v>49997</v>
      </c>
      <c r="K460" s="109">
        <f>SUM(K461:K463)</f>
        <v>7242</v>
      </c>
      <c r="L460" s="110">
        <f>SUM(L461:L463)</f>
        <v>152143</v>
      </c>
      <c r="M460" s="108">
        <f t="shared" si="278"/>
        <v>598</v>
      </c>
      <c r="N460" s="111">
        <f t="shared" si="278"/>
        <v>87</v>
      </c>
      <c r="O460" s="108">
        <f t="shared" si="278"/>
        <v>0</v>
      </c>
      <c r="P460" s="112">
        <f t="shared" si="278"/>
        <v>685</v>
      </c>
      <c r="Q460" s="106"/>
    </row>
    <row r="461" spans="1:17" ht="12.75" customHeight="1">
      <c r="A461" s="113" t="s">
        <v>16</v>
      </c>
      <c r="B461" s="114">
        <v>122532</v>
      </c>
      <c r="C461" s="114"/>
      <c r="D461" s="114">
        <f>+B461+C461</f>
        <v>122532</v>
      </c>
      <c r="E461" s="114">
        <v>78352</v>
      </c>
      <c r="F461" s="114">
        <v>43457</v>
      </c>
      <c r="G461" s="114">
        <v>7242</v>
      </c>
      <c r="H461" s="114">
        <f>SUM(E461:G461)</f>
        <v>129051</v>
      </c>
      <c r="I461" s="43">
        <v>78293</v>
      </c>
      <c r="J461" s="43">
        <v>43370</v>
      </c>
      <c r="K461" s="43">
        <v>7242</v>
      </c>
      <c r="L461" s="78">
        <f>SUM(I461:K461)</f>
        <v>128905</v>
      </c>
      <c r="M461" s="114">
        <f t="shared" ref="M461:O463" si="279">+E461-I461</f>
        <v>59</v>
      </c>
      <c r="N461" s="115">
        <f t="shared" si="279"/>
        <v>87</v>
      </c>
      <c r="O461" s="114">
        <f t="shared" si="279"/>
        <v>0</v>
      </c>
      <c r="P461" s="116">
        <f>SUM(M461:O461)</f>
        <v>146</v>
      </c>
      <c r="Q461" s="106"/>
    </row>
    <row r="462" spans="1:17" ht="12.75" customHeight="1">
      <c r="A462" s="113" t="s">
        <v>17</v>
      </c>
      <c r="B462" s="114"/>
      <c r="C462" s="114"/>
      <c r="D462" s="114">
        <f>+B462+C462</f>
        <v>0</v>
      </c>
      <c r="E462" s="114">
        <v>9545</v>
      </c>
      <c r="F462" s="114">
        <v>6627</v>
      </c>
      <c r="G462" s="114"/>
      <c r="H462" s="114">
        <f>SUM(E462:G462)</f>
        <v>16172</v>
      </c>
      <c r="I462" s="43">
        <v>9522</v>
      </c>
      <c r="J462" s="43">
        <v>6627</v>
      </c>
      <c r="K462" s="43"/>
      <c r="L462" s="78">
        <f>SUM(I462:K462)</f>
        <v>16149</v>
      </c>
      <c r="M462" s="114">
        <f t="shared" si="279"/>
        <v>23</v>
      </c>
      <c r="N462" s="115">
        <f t="shared" si="279"/>
        <v>0</v>
      </c>
      <c r="O462" s="114">
        <f t="shared" si="279"/>
        <v>0</v>
      </c>
      <c r="P462" s="116">
        <f>SUM(M462:O462)</f>
        <v>23</v>
      </c>
      <c r="Q462" s="106"/>
    </row>
    <row r="463" spans="1:17" ht="12.75" customHeight="1">
      <c r="A463" s="113" t="s">
        <v>18</v>
      </c>
      <c r="B463" s="114">
        <v>7138</v>
      </c>
      <c r="C463" s="114"/>
      <c r="D463" s="114">
        <f>+B463+C463</f>
        <v>7138</v>
      </c>
      <c r="E463" s="114">
        <v>7605</v>
      </c>
      <c r="F463" s="114"/>
      <c r="G463" s="114"/>
      <c r="H463" s="114">
        <f>SUM(E463:G463)</f>
        <v>7605</v>
      </c>
      <c r="I463" s="43">
        <v>7089</v>
      </c>
      <c r="J463" s="43"/>
      <c r="K463" s="43"/>
      <c r="L463" s="78">
        <f>SUM(I463:K463)</f>
        <v>7089</v>
      </c>
      <c r="M463" s="114">
        <f t="shared" si="279"/>
        <v>516</v>
      </c>
      <c r="N463" s="115">
        <f t="shared" si="279"/>
        <v>0</v>
      </c>
      <c r="O463" s="114">
        <f t="shared" si="279"/>
        <v>0</v>
      </c>
      <c r="P463" s="116">
        <f>SUM(M463:O463)</f>
        <v>516</v>
      </c>
      <c r="Q463" s="106"/>
    </row>
    <row r="464" spans="1:17" ht="12.75" customHeight="1">
      <c r="A464" s="113" t="s">
        <v>19</v>
      </c>
      <c r="B464" s="102">
        <f>SUM(B465:B466)</f>
        <v>0</v>
      </c>
      <c r="C464" s="102">
        <f>SUM(C465:C466)</f>
        <v>0</v>
      </c>
      <c r="D464" s="102">
        <f>SUM(D465:D466)</f>
        <v>0</v>
      </c>
      <c r="E464" s="102">
        <f t="shared" ref="E464:P464" si="280">SUM(E465:E466)</f>
        <v>0</v>
      </c>
      <c r="F464" s="102">
        <f t="shared" si="280"/>
        <v>0</v>
      </c>
      <c r="G464" s="102">
        <f t="shared" si="280"/>
        <v>0</v>
      </c>
      <c r="H464" s="102">
        <f t="shared" si="280"/>
        <v>0</v>
      </c>
      <c r="I464" s="45">
        <f>SUM(I465:I466)</f>
        <v>0</v>
      </c>
      <c r="J464" s="45">
        <f>SUM(J465:J466)</f>
        <v>0</v>
      </c>
      <c r="K464" s="45">
        <f>SUM(K465:K466)</f>
        <v>0</v>
      </c>
      <c r="L464" s="103">
        <f>SUM(L465:L466)</f>
        <v>0</v>
      </c>
      <c r="M464" s="102">
        <f t="shared" si="280"/>
        <v>0</v>
      </c>
      <c r="N464" s="104">
        <f t="shared" si="280"/>
        <v>0</v>
      </c>
      <c r="O464" s="102">
        <f t="shared" si="280"/>
        <v>0</v>
      </c>
      <c r="P464" s="105">
        <f t="shared" si="280"/>
        <v>0</v>
      </c>
      <c r="Q464" s="106"/>
    </row>
    <row r="465" spans="1:17" ht="12.75" customHeight="1">
      <c r="A465" s="113" t="s">
        <v>20</v>
      </c>
      <c r="B465" s="114"/>
      <c r="C465" s="114"/>
      <c r="D465" s="114">
        <f>+B465+C465</f>
        <v>0</v>
      </c>
      <c r="E465" s="114"/>
      <c r="F465" s="114"/>
      <c r="G465" s="114"/>
      <c r="H465" s="114">
        <f>SUM(E465:G465)</f>
        <v>0</v>
      </c>
      <c r="I465" s="43"/>
      <c r="J465" s="43"/>
      <c r="K465" s="43"/>
      <c r="L465" s="78">
        <f>SUM(I465:K465)</f>
        <v>0</v>
      </c>
      <c r="M465" s="114">
        <f t="shared" ref="M465:O466" si="281">+E465-I465</f>
        <v>0</v>
      </c>
      <c r="N465" s="115">
        <f t="shared" si="281"/>
        <v>0</v>
      </c>
      <c r="O465" s="114">
        <f t="shared" si="281"/>
        <v>0</v>
      </c>
      <c r="P465" s="116">
        <f>SUM(M465:O465)</f>
        <v>0</v>
      </c>
      <c r="Q465" s="106"/>
    </row>
    <row r="466" spans="1:17" ht="12.75" customHeight="1">
      <c r="A466" s="113" t="s">
        <v>21</v>
      </c>
      <c r="B466" s="114"/>
      <c r="C466" s="114"/>
      <c r="D466" s="114">
        <f>+B466+C466</f>
        <v>0</v>
      </c>
      <c r="E466" s="114"/>
      <c r="F466" s="114"/>
      <c r="G466" s="114"/>
      <c r="H466" s="114">
        <f>SUM(E466:G466)</f>
        <v>0</v>
      </c>
      <c r="I466" s="43"/>
      <c r="J466" s="43"/>
      <c r="K466" s="43"/>
      <c r="L466" s="78">
        <f>SUM(I466:K466)</f>
        <v>0</v>
      </c>
      <c r="M466" s="114">
        <f t="shared" si="281"/>
        <v>0</v>
      </c>
      <c r="N466" s="115">
        <f t="shared" si="281"/>
        <v>0</v>
      </c>
      <c r="O466" s="114">
        <f t="shared" si="281"/>
        <v>0</v>
      </c>
      <c r="P466" s="116">
        <f>SUM(M466:O466)</f>
        <v>0</v>
      </c>
      <c r="Q466" s="106"/>
    </row>
    <row r="467" spans="1:17" ht="12.75" customHeight="1">
      <c r="A467" s="121"/>
      <c r="B467" s="122"/>
      <c r="C467" s="122"/>
      <c r="D467" s="122"/>
      <c r="E467" s="114"/>
      <c r="F467" s="114"/>
      <c r="G467" s="114"/>
      <c r="H467" s="114"/>
      <c r="I467" s="43"/>
      <c r="J467" s="43"/>
      <c r="K467" s="43"/>
      <c r="L467" s="78"/>
      <c r="M467" s="114"/>
      <c r="N467" s="115"/>
      <c r="O467" s="114"/>
      <c r="P467" s="116"/>
      <c r="Q467" s="106"/>
    </row>
    <row r="468" spans="1:17">
      <c r="A468" s="120" t="s">
        <v>272</v>
      </c>
      <c r="B468" s="102">
        <f>+B469+B473</f>
        <v>147657</v>
      </c>
      <c r="C468" s="102">
        <f>+C469+C473</f>
        <v>14170</v>
      </c>
      <c r="D468" s="102">
        <f>+D469+D473</f>
        <v>161827</v>
      </c>
      <c r="E468" s="102">
        <f t="shared" ref="E468:P468" si="282">+E469+E473</f>
        <v>112747</v>
      </c>
      <c r="F468" s="102">
        <f t="shared" si="282"/>
        <v>48270</v>
      </c>
      <c r="G468" s="102">
        <f t="shared" si="282"/>
        <v>14367</v>
      </c>
      <c r="H468" s="102">
        <f t="shared" si="282"/>
        <v>175384</v>
      </c>
      <c r="I468" s="45">
        <f t="shared" si="282"/>
        <v>112616</v>
      </c>
      <c r="J468" s="45">
        <f t="shared" si="282"/>
        <v>44311</v>
      </c>
      <c r="K468" s="45">
        <f t="shared" si="282"/>
        <v>14183</v>
      </c>
      <c r="L468" s="103">
        <f t="shared" si="282"/>
        <v>171110</v>
      </c>
      <c r="M468" s="102">
        <f t="shared" si="282"/>
        <v>131</v>
      </c>
      <c r="N468" s="104">
        <f t="shared" si="282"/>
        <v>3959</v>
      </c>
      <c r="O468" s="102">
        <f t="shared" si="282"/>
        <v>184</v>
      </c>
      <c r="P468" s="105">
        <f t="shared" si="282"/>
        <v>4274</v>
      </c>
      <c r="Q468" s="106">
        <f>+L468/H468</f>
        <v>0.97563061624777636</v>
      </c>
    </row>
    <row r="469" spans="1:17" ht="12.75" customHeight="1">
      <c r="A469" s="127" t="s">
        <v>15</v>
      </c>
      <c r="B469" s="108">
        <f>SUM(B470:B472)</f>
        <v>147657</v>
      </c>
      <c r="C469" s="108">
        <f>SUM(C470:C472)</f>
        <v>14170</v>
      </c>
      <c r="D469" s="108">
        <f>SUM(D470:D472)</f>
        <v>161827</v>
      </c>
      <c r="E469" s="108">
        <f t="shared" ref="E469:P469" si="283">SUM(E470:E472)</f>
        <v>112747</v>
      </c>
      <c r="F469" s="108">
        <f t="shared" si="283"/>
        <v>48270</v>
      </c>
      <c r="G469" s="108">
        <f t="shared" si="283"/>
        <v>14367</v>
      </c>
      <c r="H469" s="108">
        <f t="shared" si="283"/>
        <v>175384</v>
      </c>
      <c r="I469" s="109">
        <f>SUM(I470:I472)</f>
        <v>112616</v>
      </c>
      <c r="J469" s="109">
        <f>SUM(J470:J472)</f>
        <v>44311</v>
      </c>
      <c r="K469" s="109">
        <f>SUM(K470:K472)</f>
        <v>14183</v>
      </c>
      <c r="L469" s="110">
        <f>SUM(L470:L472)</f>
        <v>171110</v>
      </c>
      <c r="M469" s="108">
        <f t="shared" si="283"/>
        <v>131</v>
      </c>
      <c r="N469" s="111">
        <f t="shared" si="283"/>
        <v>3959</v>
      </c>
      <c r="O469" s="108">
        <f t="shared" si="283"/>
        <v>184</v>
      </c>
      <c r="P469" s="112">
        <f t="shared" si="283"/>
        <v>4274</v>
      </c>
      <c r="Q469" s="106"/>
    </row>
    <row r="470" spans="1:17" ht="12.75" customHeight="1">
      <c r="A470" s="113" t="s">
        <v>16</v>
      </c>
      <c r="B470" s="114">
        <v>139291</v>
      </c>
      <c r="C470" s="114"/>
      <c r="D470" s="114">
        <f>+B470+C470</f>
        <v>139291</v>
      </c>
      <c r="E470" s="114">
        <v>91283</v>
      </c>
      <c r="F470" s="114">
        <v>46708</v>
      </c>
      <c r="G470" s="114">
        <v>14367</v>
      </c>
      <c r="H470" s="114">
        <f>SUM(E470:G470)</f>
        <v>152358</v>
      </c>
      <c r="I470" s="43">
        <v>91281</v>
      </c>
      <c r="J470" s="43">
        <v>42903</v>
      </c>
      <c r="K470" s="43">
        <v>14183</v>
      </c>
      <c r="L470" s="78">
        <f>SUM(I470:K470)</f>
        <v>148367</v>
      </c>
      <c r="M470" s="114">
        <f t="shared" ref="M470:O472" si="284">+E470-I470</f>
        <v>2</v>
      </c>
      <c r="N470" s="115">
        <f t="shared" si="284"/>
        <v>3805</v>
      </c>
      <c r="O470" s="114">
        <f t="shared" si="284"/>
        <v>184</v>
      </c>
      <c r="P470" s="116">
        <f>SUM(M470:O470)</f>
        <v>3991</v>
      </c>
      <c r="Q470" s="106"/>
    </row>
    <row r="471" spans="1:17" ht="12.75" customHeight="1">
      <c r="A471" s="113" t="s">
        <v>17</v>
      </c>
      <c r="B471" s="114"/>
      <c r="C471" s="114">
        <f>+H471</f>
        <v>14170</v>
      </c>
      <c r="D471" s="114">
        <f>+B471+C471</f>
        <v>14170</v>
      </c>
      <c r="E471" s="114">
        <v>12608</v>
      </c>
      <c r="F471" s="114">
        <v>1562</v>
      </c>
      <c r="G471" s="114"/>
      <c r="H471" s="114">
        <f>SUM(E471:G471)</f>
        <v>14170</v>
      </c>
      <c r="I471" s="43">
        <v>12608</v>
      </c>
      <c r="J471" s="43">
        <v>1408</v>
      </c>
      <c r="K471" s="43"/>
      <c r="L471" s="78">
        <f>SUM(I471:K471)</f>
        <v>14016</v>
      </c>
      <c r="M471" s="114">
        <f t="shared" si="284"/>
        <v>0</v>
      </c>
      <c r="N471" s="115">
        <f t="shared" si="284"/>
        <v>154</v>
      </c>
      <c r="O471" s="114">
        <f t="shared" si="284"/>
        <v>0</v>
      </c>
      <c r="P471" s="116">
        <f>SUM(M471:O471)</f>
        <v>154</v>
      </c>
      <c r="Q471" s="106"/>
    </row>
    <row r="472" spans="1:17" ht="12.75" customHeight="1">
      <c r="A472" s="113" t="s">
        <v>18</v>
      </c>
      <c r="B472" s="114">
        <v>8366</v>
      </c>
      <c r="C472" s="114"/>
      <c r="D472" s="114">
        <f>+B472+C472</f>
        <v>8366</v>
      </c>
      <c r="E472" s="114">
        <v>8856</v>
      </c>
      <c r="F472" s="114"/>
      <c r="G472" s="114"/>
      <c r="H472" s="114">
        <f>SUM(E472:G472)</f>
        <v>8856</v>
      </c>
      <c r="I472" s="43">
        <v>8727</v>
      </c>
      <c r="J472" s="43"/>
      <c r="K472" s="43"/>
      <c r="L472" s="78">
        <f>SUM(I472:K472)</f>
        <v>8727</v>
      </c>
      <c r="M472" s="114">
        <f t="shared" si="284"/>
        <v>129</v>
      </c>
      <c r="N472" s="115">
        <f t="shared" si="284"/>
        <v>0</v>
      </c>
      <c r="O472" s="114">
        <f t="shared" si="284"/>
        <v>0</v>
      </c>
      <c r="P472" s="116">
        <f>SUM(M472:O472)</f>
        <v>129</v>
      </c>
      <c r="Q472" s="106"/>
    </row>
    <row r="473" spans="1:17" ht="12.75" customHeight="1">
      <c r="A473" s="113" t="s">
        <v>19</v>
      </c>
      <c r="B473" s="102">
        <f>SUM(B474:B475)</f>
        <v>0</v>
      </c>
      <c r="C473" s="102">
        <f>SUM(C474:C475)</f>
        <v>0</v>
      </c>
      <c r="D473" s="102">
        <f>SUM(D474:D475)</f>
        <v>0</v>
      </c>
      <c r="E473" s="102">
        <f t="shared" ref="E473:P473" si="285">SUM(E474:E475)</f>
        <v>0</v>
      </c>
      <c r="F473" s="102">
        <f t="shared" si="285"/>
        <v>0</v>
      </c>
      <c r="G473" s="102">
        <f t="shared" si="285"/>
        <v>0</v>
      </c>
      <c r="H473" s="102">
        <f t="shared" si="285"/>
        <v>0</v>
      </c>
      <c r="I473" s="45">
        <f>SUM(I474:I475)</f>
        <v>0</v>
      </c>
      <c r="J473" s="45">
        <f>SUM(J474:J475)</f>
        <v>0</v>
      </c>
      <c r="K473" s="45">
        <f>SUM(K474:K475)</f>
        <v>0</v>
      </c>
      <c r="L473" s="103">
        <f>SUM(L474:L475)</f>
        <v>0</v>
      </c>
      <c r="M473" s="102">
        <f t="shared" si="285"/>
        <v>0</v>
      </c>
      <c r="N473" s="104">
        <f t="shared" si="285"/>
        <v>0</v>
      </c>
      <c r="O473" s="102">
        <f t="shared" si="285"/>
        <v>0</v>
      </c>
      <c r="P473" s="105">
        <f t="shared" si="285"/>
        <v>0</v>
      </c>
      <c r="Q473" s="106"/>
    </row>
    <row r="474" spans="1:17" ht="12.75" customHeight="1">
      <c r="A474" s="113" t="s">
        <v>20</v>
      </c>
      <c r="B474" s="114"/>
      <c r="C474" s="114">
        <f>+H474</f>
        <v>0</v>
      </c>
      <c r="D474" s="114">
        <f>+B474+C474</f>
        <v>0</v>
      </c>
      <c r="E474" s="114"/>
      <c r="F474" s="114"/>
      <c r="G474" s="114"/>
      <c r="H474" s="114">
        <f>SUM(E474:G474)</f>
        <v>0</v>
      </c>
      <c r="I474" s="43"/>
      <c r="J474" s="43"/>
      <c r="K474" s="43"/>
      <c r="L474" s="78">
        <f>SUM(I474:K474)</f>
        <v>0</v>
      </c>
      <c r="M474" s="114">
        <f t="shared" ref="M474:O475" si="286">+E474-I474</f>
        <v>0</v>
      </c>
      <c r="N474" s="115">
        <f t="shared" si="286"/>
        <v>0</v>
      </c>
      <c r="O474" s="114">
        <f t="shared" si="286"/>
        <v>0</v>
      </c>
      <c r="P474" s="116">
        <f>SUM(M474:O474)</f>
        <v>0</v>
      </c>
      <c r="Q474" s="106"/>
    </row>
    <row r="475" spans="1:17" ht="12.75" customHeight="1">
      <c r="A475" s="113" t="s">
        <v>21</v>
      </c>
      <c r="B475" s="114"/>
      <c r="C475" s="114"/>
      <c r="D475" s="114">
        <f>+B475+C475</f>
        <v>0</v>
      </c>
      <c r="E475" s="114"/>
      <c r="F475" s="114"/>
      <c r="G475" s="114"/>
      <c r="H475" s="114">
        <f>SUM(E475:G475)</f>
        <v>0</v>
      </c>
      <c r="I475" s="43"/>
      <c r="J475" s="43"/>
      <c r="K475" s="43"/>
      <c r="L475" s="78">
        <f>SUM(I475:K475)</f>
        <v>0</v>
      </c>
      <c r="M475" s="114">
        <f t="shared" si="286"/>
        <v>0</v>
      </c>
      <c r="N475" s="115">
        <f t="shared" si="286"/>
        <v>0</v>
      </c>
      <c r="O475" s="114">
        <f t="shared" si="286"/>
        <v>0</v>
      </c>
      <c r="P475" s="116">
        <f>SUM(M475:O475)</f>
        <v>0</v>
      </c>
      <c r="Q475" s="106"/>
    </row>
    <row r="476" spans="1:17" ht="12.75" customHeight="1">
      <c r="A476" s="121"/>
      <c r="B476" s="122"/>
      <c r="C476" s="122"/>
      <c r="D476" s="122"/>
      <c r="E476" s="114"/>
      <c r="F476" s="114"/>
      <c r="G476" s="114"/>
      <c r="H476" s="114"/>
      <c r="I476" s="43"/>
      <c r="J476" s="43"/>
      <c r="K476" s="43"/>
      <c r="L476" s="78"/>
      <c r="M476" s="114"/>
      <c r="N476" s="115"/>
      <c r="O476" s="114"/>
      <c r="P476" s="116"/>
      <c r="Q476" s="106"/>
    </row>
    <row r="477" spans="1:17" ht="12.75" customHeight="1">
      <c r="A477" s="120" t="s">
        <v>273</v>
      </c>
      <c r="B477" s="102">
        <f>+B478+B482</f>
        <v>232736</v>
      </c>
      <c r="C477" s="102">
        <f>+C478+C482</f>
        <v>16177</v>
      </c>
      <c r="D477" s="102">
        <f>+D478+D482</f>
        <v>248913</v>
      </c>
      <c r="E477" s="102">
        <f t="shared" ref="E477:P477" si="287">+E478+E482</f>
        <v>176473</v>
      </c>
      <c r="F477" s="102">
        <f t="shared" si="287"/>
        <v>73827</v>
      </c>
      <c r="G477" s="102">
        <f t="shared" si="287"/>
        <v>31102</v>
      </c>
      <c r="H477" s="102">
        <f t="shared" si="287"/>
        <v>281402</v>
      </c>
      <c r="I477" s="45">
        <f t="shared" si="287"/>
        <v>175798</v>
      </c>
      <c r="J477" s="45">
        <f t="shared" si="287"/>
        <v>72067</v>
      </c>
      <c r="K477" s="45">
        <f t="shared" si="287"/>
        <v>0</v>
      </c>
      <c r="L477" s="103">
        <f t="shared" si="287"/>
        <v>247865</v>
      </c>
      <c r="M477" s="102">
        <f t="shared" si="287"/>
        <v>675</v>
      </c>
      <c r="N477" s="104">
        <f t="shared" si="287"/>
        <v>1760</v>
      </c>
      <c r="O477" s="102">
        <f t="shared" si="287"/>
        <v>31102</v>
      </c>
      <c r="P477" s="105">
        <f t="shared" si="287"/>
        <v>33537</v>
      </c>
      <c r="Q477" s="106">
        <f>+L477/H477</f>
        <v>0.88082174256046508</v>
      </c>
    </row>
    <row r="478" spans="1:17" ht="12.75" customHeight="1">
      <c r="A478" s="127" t="s">
        <v>15</v>
      </c>
      <c r="B478" s="108">
        <f>SUM(B479:B481)</f>
        <v>232736</v>
      </c>
      <c r="C478" s="108">
        <f>SUM(C479:C481)</f>
        <v>16177</v>
      </c>
      <c r="D478" s="108">
        <f>SUM(D479:D481)</f>
        <v>248913</v>
      </c>
      <c r="E478" s="108">
        <f t="shared" ref="E478:P478" si="288">SUM(E479:E481)</f>
        <v>176473</v>
      </c>
      <c r="F478" s="108">
        <f t="shared" si="288"/>
        <v>73827</v>
      </c>
      <c r="G478" s="108">
        <f t="shared" si="288"/>
        <v>31102</v>
      </c>
      <c r="H478" s="108">
        <f t="shared" si="288"/>
        <v>281402</v>
      </c>
      <c r="I478" s="109">
        <f>SUM(I479:I481)</f>
        <v>175798</v>
      </c>
      <c r="J478" s="109">
        <f>SUM(J479:J481)</f>
        <v>72067</v>
      </c>
      <c r="K478" s="109">
        <f>SUM(K479:K481)</f>
        <v>0</v>
      </c>
      <c r="L478" s="110">
        <f>SUM(L479:L481)</f>
        <v>247865</v>
      </c>
      <c r="M478" s="108">
        <f t="shared" si="288"/>
        <v>675</v>
      </c>
      <c r="N478" s="111">
        <f t="shared" si="288"/>
        <v>1760</v>
      </c>
      <c r="O478" s="108">
        <f t="shared" si="288"/>
        <v>31102</v>
      </c>
      <c r="P478" s="112">
        <f t="shared" si="288"/>
        <v>33537</v>
      </c>
      <c r="Q478" s="106"/>
    </row>
    <row r="479" spans="1:17" ht="12.75" customHeight="1">
      <c r="A479" s="113" t="s">
        <v>16</v>
      </c>
      <c r="B479" s="114">
        <v>218825</v>
      </c>
      <c r="C479" s="114"/>
      <c r="D479" s="114">
        <f>+B479+C479</f>
        <v>218825</v>
      </c>
      <c r="E479" s="114">
        <v>145239</v>
      </c>
      <c r="F479" s="114">
        <v>73586</v>
      </c>
      <c r="G479" s="114">
        <v>31102</v>
      </c>
      <c r="H479" s="114">
        <f>SUM(E479:G479)</f>
        <v>249927</v>
      </c>
      <c r="I479" s="43">
        <v>144899</v>
      </c>
      <c r="J479" s="43">
        <v>71856</v>
      </c>
      <c r="K479" s="43"/>
      <c r="L479" s="78">
        <f>SUM(I479:K479)</f>
        <v>216755</v>
      </c>
      <c r="M479" s="114">
        <f t="shared" ref="M479:O481" si="289">+E479-I479</f>
        <v>340</v>
      </c>
      <c r="N479" s="115">
        <f t="shared" si="289"/>
        <v>1730</v>
      </c>
      <c r="O479" s="114">
        <f t="shared" si="289"/>
        <v>31102</v>
      </c>
      <c r="P479" s="116">
        <f>SUM(M479:O479)</f>
        <v>33172</v>
      </c>
      <c r="Q479" s="106"/>
    </row>
    <row r="480" spans="1:17" ht="12.75" customHeight="1">
      <c r="A480" s="113" t="s">
        <v>17</v>
      </c>
      <c r="B480" s="114"/>
      <c r="C480" s="114">
        <f>+H480</f>
        <v>16177</v>
      </c>
      <c r="D480" s="114">
        <f>+B480+C480</f>
        <v>16177</v>
      </c>
      <c r="E480" s="114">
        <v>15936</v>
      </c>
      <c r="F480" s="114">
        <v>241</v>
      </c>
      <c r="G480" s="114"/>
      <c r="H480" s="114">
        <f>SUM(E480:G480)</f>
        <v>16177</v>
      </c>
      <c r="I480" s="43">
        <v>15606</v>
      </c>
      <c r="J480" s="43">
        <v>211</v>
      </c>
      <c r="K480" s="43"/>
      <c r="L480" s="78">
        <f>SUM(I480:K480)</f>
        <v>15817</v>
      </c>
      <c r="M480" s="114">
        <f t="shared" si="289"/>
        <v>330</v>
      </c>
      <c r="N480" s="115">
        <f t="shared" si="289"/>
        <v>30</v>
      </c>
      <c r="O480" s="114">
        <f t="shared" si="289"/>
        <v>0</v>
      </c>
      <c r="P480" s="116">
        <f>SUM(M480:O480)</f>
        <v>360</v>
      </c>
      <c r="Q480" s="106"/>
    </row>
    <row r="481" spans="1:17" ht="12.75" customHeight="1">
      <c r="A481" s="113" t="s">
        <v>18</v>
      </c>
      <c r="B481" s="114">
        <v>13911</v>
      </c>
      <c r="C481" s="114"/>
      <c r="D481" s="114">
        <f>+B481+C481</f>
        <v>13911</v>
      </c>
      <c r="E481" s="114">
        <v>15298</v>
      </c>
      <c r="F481" s="114"/>
      <c r="G481" s="114"/>
      <c r="H481" s="114">
        <f>SUM(E481:G481)</f>
        <v>15298</v>
      </c>
      <c r="I481" s="43">
        <v>15293</v>
      </c>
      <c r="J481" s="43"/>
      <c r="K481" s="43"/>
      <c r="L481" s="78">
        <f>SUM(I481:K481)</f>
        <v>15293</v>
      </c>
      <c r="M481" s="114">
        <f t="shared" si="289"/>
        <v>5</v>
      </c>
      <c r="N481" s="115">
        <f t="shared" si="289"/>
        <v>0</v>
      </c>
      <c r="O481" s="114">
        <f t="shared" si="289"/>
        <v>0</v>
      </c>
      <c r="P481" s="116">
        <f>SUM(M481:O481)</f>
        <v>5</v>
      </c>
      <c r="Q481" s="106"/>
    </row>
    <row r="482" spans="1:17" ht="12.75" customHeight="1">
      <c r="A482" s="113" t="s">
        <v>19</v>
      </c>
      <c r="B482" s="102">
        <f>SUM(B483:B484)</f>
        <v>0</v>
      </c>
      <c r="C482" s="102">
        <f>SUM(C483:C484)</f>
        <v>0</v>
      </c>
      <c r="D482" s="102">
        <f>SUM(D483:D484)</f>
        <v>0</v>
      </c>
      <c r="E482" s="102">
        <f t="shared" ref="E482:P482" si="290">SUM(E483:E484)</f>
        <v>0</v>
      </c>
      <c r="F482" s="102">
        <f t="shared" si="290"/>
        <v>0</v>
      </c>
      <c r="G482" s="102">
        <f t="shared" si="290"/>
        <v>0</v>
      </c>
      <c r="H482" s="102">
        <f t="shared" si="290"/>
        <v>0</v>
      </c>
      <c r="I482" s="45">
        <f>SUM(I483:I484)</f>
        <v>0</v>
      </c>
      <c r="J482" s="45">
        <f>SUM(J483:J484)</f>
        <v>0</v>
      </c>
      <c r="K482" s="45">
        <f>SUM(K483:K484)</f>
        <v>0</v>
      </c>
      <c r="L482" s="103">
        <f>SUM(L483:L484)</f>
        <v>0</v>
      </c>
      <c r="M482" s="102">
        <f t="shared" si="290"/>
        <v>0</v>
      </c>
      <c r="N482" s="104">
        <f t="shared" si="290"/>
        <v>0</v>
      </c>
      <c r="O482" s="102">
        <f t="shared" si="290"/>
        <v>0</v>
      </c>
      <c r="P482" s="105">
        <f t="shared" si="290"/>
        <v>0</v>
      </c>
      <c r="Q482" s="106"/>
    </row>
    <row r="483" spans="1:17" ht="12.75" customHeight="1">
      <c r="A483" s="113" t="s">
        <v>20</v>
      </c>
      <c r="B483" s="114"/>
      <c r="C483" s="114"/>
      <c r="D483" s="114">
        <f>+B483+C483</f>
        <v>0</v>
      </c>
      <c r="E483" s="114"/>
      <c r="F483" s="114"/>
      <c r="G483" s="114"/>
      <c r="H483" s="114">
        <f>SUM(E483:G483)</f>
        <v>0</v>
      </c>
      <c r="I483" s="43"/>
      <c r="J483" s="43"/>
      <c r="K483" s="43"/>
      <c r="L483" s="78">
        <f>SUM(I483:K483)</f>
        <v>0</v>
      </c>
      <c r="M483" s="114">
        <f t="shared" ref="M483:O484" si="291">+E483-I483</f>
        <v>0</v>
      </c>
      <c r="N483" s="115">
        <f t="shared" si="291"/>
        <v>0</v>
      </c>
      <c r="O483" s="114">
        <f t="shared" si="291"/>
        <v>0</v>
      </c>
      <c r="P483" s="116">
        <f>SUM(M483:O483)</f>
        <v>0</v>
      </c>
      <c r="Q483" s="106"/>
    </row>
    <row r="484" spans="1:17" ht="12.75" customHeight="1">
      <c r="A484" s="113" t="s">
        <v>21</v>
      </c>
      <c r="B484" s="114"/>
      <c r="C484" s="114"/>
      <c r="D484" s="114">
        <f>+B484+C484</f>
        <v>0</v>
      </c>
      <c r="E484" s="114"/>
      <c r="F484" s="114"/>
      <c r="G484" s="114"/>
      <c r="H484" s="114">
        <f>SUM(E484:G484)</f>
        <v>0</v>
      </c>
      <c r="I484" s="43"/>
      <c r="J484" s="43"/>
      <c r="K484" s="43"/>
      <c r="L484" s="78">
        <f>SUM(I484:K484)</f>
        <v>0</v>
      </c>
      <c r="M484" s="114">
        <f t="shared" si="291"/>
        <v>0</v>
      </c>
      <c r="N484" s="115">
        <f t="shared" si="291"/>
        <v>0</v>
      </c>
      <c r="O484" s="114">
        <f t="shared" si="291"/>
        <v>0</v>
      </c>
      <c r="P484" s="116">
        <f>SUM(M484:O484)</f>
        <v>0</v>
      </c>
      <c r="Q484" s="106"/>
    </row>
    <row r="485" spans="1:17" ht="12.75" customHeight="1">
      <c r="A485" s="229"/>
      <c r="B485" s="230"/>
      <c r="C485" s="230"/>
      <c r="D485" s="230"/>
      <c r="E485" s="102"/>
      <c r="F485" s="102"/>
      <c r="G485" s="102"/>
      <c r="H485" s="102"/>
      <c r="I485" s="45"/>
      <c r="J485" s="45"/>
      <c r="K485" s="45"/>
      <c r="L485" s="103"/>
      <c r="M485" s="102"/>
      <c r="N485" s="104"/>
      <c r="O485" s="102"/>
      <c r="P485" s="105"/>
      <c r="Q485" s="227"/>
    </row>
    <row r="486" spans="1:17" ht="12.75" customHeight="1">
      <c r="A486" s="135" t="s">
        <v>274</v>
      </c>
      <c r="B486" s="102">
        <f>+B487+B491</f>
        <v>166458</v>
      </c>
      <c r="C486" s="102">
        <f>+C487+C491</f>
        <v>34637</v>
      </c>
      <c r="D486" s="102">
        <f>+D487+D491</f>
        <v>201095</v>
      </c>
      <c r="E486" s="102">
        <f t="shared" ref="E486:P486" si="292">+E487+E491</f>
        <v>125043</v>
      </c>
      <c r="F486" s="102">
        <f t="shared" si="292"/>
        <v>76248</v>
      </c>
      <c r="G486" s="102">
        <f t="shared" si="292"/>
        <v>0</v>
      </c>
      <c r="H486" s="102">
        <f t="shared" si="292"/>
        <v>201291</v>
      </c>
      <c r="I486" s="45">
        <f t="shared" si="292"/>
        <v>124509</v>
      </c>
      <c r="J486" s="45">
        <f t="shared" si="292"/>
        <v>72059</v>
      </c>
      <c r="K486" s="45">
        <f t="shared" si="292"/>
        <v>0</v>
      </c>
      <c r="L486" s="103">
        <f t="shared" si="292"/>
        <v>196568</v>
      </c>
      <c r="M486" s="102">
        <f t="shared" si="292"/>
        <v>534</v>
      </c>
      <c r="N486" s="104">
        <f t="shared" si="292"/>
        <v>4189</v>
      </c>
      <c r="O486" s="102">
        <f t="shared" si="292"/>
        <v>0</v>
      </c>
      <c r="P486" s="105">
        <f t="shared" si="292"/>
        <v>4723</v>
      </c>
      <c r="Q486" s="106">
        <f>+L486/H486</f>
        <v>0.9765364571689743</v>
      </c>
    </row>
    <row r="487" spans="1:17" ht="12.75" customHeight="1">
      <c r="A487" s="127" t="s">
        <v>15</v>
      </c>
      <c r="B487" s="108">
        <f>SUM(B488:B490)</f>
        <v>166458</v>
      </c>
      <c r="C487" s="108">
        <f>SUM(C488:C490)</f>
        <v>34637</v>
      </c>
      <c r="D487" s="108">
        <f>SUM(D488:D490)</f>
        <v>201095</v>
      </c>
      <c r="E487" s="108">
        <f t="shared" ref="E487:P487" si="293">SUM(E488:E490)</f>
        <v>125043</v>
      </c>
      <c r="F487" s="108">
        <f t="shared" si="293"/>
        <v>76248</v>
      </c>
      <c r="G487" s="108">
        <f t="shared" si="293"/>
        <v>0</v>
      </c>
      <c r="H487" s="108">
        <f t="shared" si="293"/>
        <v>201291</v>
      </c>
      <c r="I487" s="109">
        <f>SUM(I488:I490)</f>
        <v>124509</v>
      </c>
      <c r="J487" s="109">
        <f>SUM(J488:J490)</f>
        <v>72059</v>
      </c>
      <c r="K487" s="109">
        <f>SUM(K488:K490)</f>
        <v>0</v>
      </c>
      <c r="L487" s="110">
        <f>SUM(L488:L490)</f>
        <v>196568</v>
      </c>
      <c r="M487" s="108">
        <f t="shared" si="293"/>
        <v>534</v>
      </c>
      <c r="N487" s="111">
        <f t="shared" si="293"/>
        <v>4189</v>
      </c>
      <c r="O487" s="108">
        <f t="shared" si="293"/>
        <v>0</v>
      </c>
      <c r="P487" s="112">
        <f t="shared" si="293"/>
        <v>4723</v>
      </c>
      <c r="Q487" s="106"/>
    </row>
    <row r="488" spans="1:17" ht="12.75" customHeight="1">
      <c r="A488" s="113" t="s">
        <v>16</v>
      </c>
      <c r="B488" s="114">
        <v>156806</v>
      </c>
      <c r="C488" s="114"/>
      <c r="D488" s="114">
        <f>+B488+C488</f>
        <v>156806</v>
      </c>
      <c r="E488" s="114">
        <v>104256</v>
      </c>
      <c r="F488" s="114">
        <v>52550</v>
      </c>
      <c r="G488" s="114"/>
      <c r="H488" s="114">
        <f>SUM(E488:G488)</f>
        <v>156806</v>
      </c>
      <c r="I488" s="43">
        <v>103722</v>
      </c>
      <c r="J488" s="43">
        <v>52042</v>
      </c>
      <c r="K488" s="43"/>
      <c r="L488" s="78">
        <f>SUM(I488:K488)</f>
        <v>155764</v>
      </c>
      <c r="M488" s="114">
        <f t="shared" ref="M488:O490" si="294">+E488-I488</f>
        <v>534</v>
      </c>
      <c r="N488" s="115">
        <f t="shared" si="294"/>
        <v>508</v>
      </c>
      <c r="O488" s="114">
        <f t="shared" si="294"/>
        <v>0</v>
      </c>
      <c r="P488" s="116">
        <f>SUM(M488:O488)</f>
        <v>1042</v>
      </c>
      <c r="Q488" s="106"/>
    </row>
    <row r="489" spans="1:17" ht="12.75" customHeight="1">
      <c r="A489" s="113" t="s">
        <v>17</v>
      </c>
      <c r="B489" s="114"/>
      <c r="C489" s="114">
        <f>+H489</f>
        <v>34637</v>
      </c>
      <c r="D489" s="114">
        <f>+B489+C489</f>
        <v>34637</v>
      </c>
      <c r="E489" s="114">
        <v>10939</v>
      </c>
      <c r="F489" s="114">
        <v>23698</v>
      </c>
      <c r="G489" s="114"/>
      <c r="H489" s="114">
        <f>SUM(E489:G489)</f>
        <v>34637</v>
      </c>
      <c r="I489" s="43">
        <v>10939</v>
      </c>
      <c r="J489" s="43">
        <v>20017</v>
      </c>
      <c r="K489" s="43"/>
      <c r="L489" s="78">
        <f>SUM(I489:K489)</f>
        <v>30956</v>
      </c>
      <c r="M489" s="114">
        <f t="shared" si="294"/>
        <v>0</v>
      </c>
      <c r="N489" s="115">
        <f t="shared" si="294"/>
        <v>3681</v>
      </c>
      <c r="O489" s="114">
        <f t="shared" si="294"/>
        <v>0</v>
      </c>
      <c r="P489" s="116">
        <f>SUM(M489:O489)</f>
        <v>3681</v>
      </c>
      <c r="Q489" s="106"/>
    </row>
    <row r="490" spans="1:17" ht="12.75" customHeight="1">
      <c r="A490" s="113" t="s">
        <v>18</v>
      </c>
      <c r="B490" s="114">
        <v>9652</v>
      </c>
      <c r="C490" s="114"/>
      <c r="D490" s="114">
        <f>+B490+C490</f>
        <v>9652</v>
      </c>
      <c r="E490" s="114">
        <v>9848</v>
      </c>
      <c r="F490" s="114"/>
      <c r="G490" s="114"/>
      <c r="H490" s="114">
        <f>SUM(E490:G490)</f>
        <v>9848</v>
      </c>
      <c r="I490" s="43">
        <v>9848</v>
      </c>
      <c r="J490" s="43"/>
      <c r="K490" s="43"/>
      <c r="L490" s="78">
        <f>SUM(I490:K490)</f>
        <v>9848</v>
      </c>
      <c r="M490" s="114">
        <f t="shared" si="294"/>
        <v>0</v>
      </c>
      <c r="N490" s="115">
        <f t="shared" si="294"/>
        <v>0</v>
      </c>
      <c r="O490" s="114">
        <f t="shared" si="294"/>
        <v>0</v>
      </c>
      <c r="P490" s="116">
        <f>SUM(M490:O490)</f>
        <v>0</v>
      </c>
      <c r="Q490" s="106"/>
    </row>
    <row r="491" spans="1:17" ht="12.75" customHeight="1">
      <c r="A491" s="113" t="s">
        <v>19</v>
      </c>
      <c r="B491" s="102">
        <f>SUM(B492:B493)</f>
        <v>0</v>
      </c>
      <c r="C491" s="102">
        <f>SUM(C492:C493)</f>
        <v>0</v>
      </c>
      <c r="D491" s="102">
        <f>SUM(D492:D493)</f>
        <v>0</v>
      </c>
      <c r="E491" s="102">
        <f t="shared" ref="E491:P491" si="295">SUM(E492:E493)</f>
        <v>0</v>
      </c>
      <c r="F491" s="102">
        <f t="shared" si="295"/>
        <v>0</v>
      </c>
      <c r="G491" s="102">
        <f t="shared" si="295"/>
        <v>0</v>
      </c>
      <c r="H491" s="102">
        <f t="shared" si="295"/>
        <v>0</v>
      </c>
      <c r="I491" s="45">
        <f>SUM(I492:I493)</f>
        <v>0</v>
      </c>
      <c r="J491" s="45">
        <f>SUM(J492:J493)</f>
        <v>0</v>
      </c>
      <c r="K491" s="45">
        <f>SUM(K492:K493)</f>
        <v>0</v>
      </c>
      <c r="L491" s="103">
        <f>SUM(L492:L493)</f>
        <v>0</v>
      </c>
      <c r="M491" s="102">
        <f t="shared" si="295"/>
        <v>0</v>
      </c>
      <c r="N491" s="104">
        <f t="shared" si="295"/>
        <v>0</v>
      </c>
      <c r="O491" s="102">
        <f t="shared" si="295"/>
        <v>0</v>
      </c>
      <c r="P491" s="105">
        <f t="shared" si="295"/>
        <v>0</v>
      </c>
      <c r="Q491" s="106"/>
    </row>
    <row r="492" spans="1:17" ht="12.75" customHeight="1">
      <c r="A492" s="113" t="s">
        <v>20</v>
      </c>
      <c r="B492" s="114"/>
      <c r="C492" s="114"/>
      <c r="D492" s="114">
        <f>+B492+C492</f>
        <v>0</v>
      </c>
      <c r="E492" s="114"/>
      <c r="F492" s="114"/>
      <c r="G492" s="114"/>
      <c r="H492" s="114">
        <f>SUM(E492:G492)</f>
        <v>0</v>
      </c>
      <c r="I492" s="43"/>
      <c r="J492" s="43"/>
      <c r="K492" s="43"/>
      <c r="L492" s="78">
        <f>SUM(I492:K492)</f>
        <v>0</v>
      </c>
      <c r="M492" s="114">
        <f t="shared" ref="M492:O493" si="296">+E492-I492</f>
        <v>0</v>
      </c>
      <c r="N492" s="115">
        <f t="shared" si="296"/>
        <v>0</v>
      </c>
      <c r="O492" s="114">
        <f t="shared" si="296"/>
        <v>0</v>
      </c>
      <c r="P492" s="116">
        <f>SUM(M492:O492)</f>
        <v>0</v>
      </c>
      <c r="Q492" s="106"/>
    </row>
    <row r="493" spans="1:17" ht="12.75" customHeight="1">
      <c r="A493" s="113" t="s">
        <v>21</v>
      </c>
      <c r="B493" s="114"/>
      <c r="C493" s="114">
        <f>+H493</f>
        <v>0</v>
      </c>
      <c r="D493" s="114">
        <f>+B493+C493</f>
        <v>0</v>
      </c>
      <c r="E493" s="114"/>
      <c r="F493" s="114"/>
      <c r="G493" s="114"/>
      <c r="H493" s="114">
        <f>SUM(E493:G493)</f>
        <v>0</v>
      </c>
      <c r="I493" s="43"/>
      <c r="J493" s="43"/>
      <c r="K493" s="43"/>
      <c r="L493" s="78">
        <f>SUM(I493:K493)</f>
        <v>0</v>
      </c>
      <c r="M493" s="114">
        <f t="shared" si="296"/>
        <v>0</v>
      </c>
      <c r="N493" s="115">
        <f t="shared" si="296"/>
        <v>0</v>
      </c>
      <c r="O493" s="114">
        <f t="shared" si="296"/>
        <v>0</v>
      </c>
      <c r="P493" s="116">
        <f>SUM(M493:O493)</f>
        <v>0</v>
      </c>
      <c r="Q493" s="106"/>
    </row>
    <row r="494" spans="1:17" ht="12.75" customHeight="1">
      <c r="A494" s="127"/>
      <c r="B494" s="137"/>
      <c r="C494" s="137"/>
      <c r="D494" s="137"/>
      <c r="E494" s="114"/>
      <c r="F494" s="114"/>
      <c r="G494" s="114"/>
      <c r="H494" s="114"/>
      <c r="I494" s="43"/>
      <c r="J494" s="43"/>
      <c r="K494" s="43"/>
      <c r="L494" s="78"/>
      <c r="M494" s="114"/>
      <c r="N494" s="115"/>
      <c r="O494" s="114"/>
      <c r="P494" s="116"/>
      <c r="Q494" s="106"/>
    </row>
    <row r="495" spans="1:17">
      <c r="A495" s="120" t="s">
        <v>275</v>
      </c>
      <c r="B495" s="102">
        <f>+B496+B500</f>
        <v>187944</v>
      </c>
      <c r="C495" s="102">
        <f>+C496+C500</f>
        <v>29599</v>
      </c>
      <c r="D495" s="102">
        <f>+D496+D500</f>
        <v>217543</v>
      </c>
      <c r="E495" s="102">
        <f t="shared" ref="E495:P495" si="297">+E496+E500</f>
        <v>122878</v>
      </c>
      <c r="F495" s="102">
        <f t="shared" si="297"/>
        <v>62453</v>
      </c>
      <c r="G495" s="102">
        <f t="shared" si="297"/>
        <v>32725</v>
      </c>
      <c r="H495" s="102">
        <f t="shared" si="297"/>
        <v>218056</v>
      </c>
      <c r="I495" s="45">
        <f t="shared" si="297"/>
        <v>118229</v>
      </c>
      <c r="J495" s="45">
        <f t="shared" si="297"/>
        <v>46899</v>
      </c>
      <c r="K495" s="45">
        <f t="shared" si="297"/>
        <v>14249</v>
      </c>
      <c r="L495" s="103">
        <f t="shared" si="297"/>
        <v>179377</v>
      </c>
      <c r="M495" s="102">
        <f t="shared" si="297"/>
        <v>4649</v>
      </c>
      <c r="N495" s="104">
        <f t="shared" si="297"/>
        <v>15554</v>
      </c>
      <c r="O495" s="102">
        <f t="shared" si="297"/>
        <v>18476</v>
      </c>
      <c r="P495" s="105">
        <f t="shared" si="297"/>
        <v>38679</v>
      </c>
      <c r="Q495" s="106">
        <f>+L495/H495</f>
        <v>0.82261896026708736</v>
      </c>
    </row>
    <row r="496" spans="1:17" ht="12.75" customHeight="1">
      <c r="A496" s="127" t="s">
        <v>15</v>
      </c>
      <c r="B496" s="108">
        <f>SUM(B497:B499)</f>
        <v>187944</v>
      </c>
      <c r="C496" s="108">
        <f>SUM(C497:C499)</f>
        <v>29599</v>
      </c>
      <c r="D496" s="108">
        <f>SUM(D497:D499)</f>
        <v>217543</v>
      </c>
      <c r="E496" s="108">
        <f t="shared" ref="E496:P496" si="298">SUM(E497:E499)</f>
        <v>122878</v>
      </c>
      <c r="F496" s="108">
        <f t="shared" si="298"/>
        <v>62453</v>
      </c>
      <c r="G496" s="108">
        <f t="shared" si="298"/>
        <v>32725</v>
      </c>
      <c r="H496" s="108">
        <f t="shared" si="298"/>
        <v>218056</v>
      </c>
      <c r="I496" s="109">
        <f>SUM(I497:I499)</f>
        <v>118229</v>
      </c>
      <c r="J496" s="109">
        <f>SUM(J497:J499)</f>
        <v>46899</v>
      </c>
      <c r="K496" s="109">
        <f>SUM(K497:K499)</f>
        <v>14249</v>
      </c>
      <c r="L496" s="110">
        <f>SUM(L497:L499)</f>
        <v>179377</v>
      </c>
      <c r="M496" s="108">
        <f t="shared" si="298"/>
        <v>4649</v>
      </c>
      <c r="N496" s="111">
        <f t="shared" si="298"/>
        <v>15554</v>
      </c>
      <c r="O496" s="108">
        <f t="shared" si="298"/>
        <v>18476</v>
      </c>
      <c r="P496" s="112">
        <f t="shared" si="298"/>
        <v>38679</v>
      </c>
      <c r="Q496" s="106"/>
    </row>
    <row r="497" spans="1:17" ht="12.75" customHeight="1">
      <c r="A497" s="113" t="s">
        <v>16</v>
      </c>
      <c r="B497" s="114">
        <v>178421</v>
      </c>
      <c r="C497" s="114">
        <v>18425</v>
      </c>
      <c r="D497" s="114">
        <f>+B497+C497</f>
        <v>196846</v>
      </c>
      <c r="E497" s="114">
        <v>103776</v>
      </c>
      <c r="F497" s="114">
        <v>60345</v>
      </c>
      <c r="G497" s="114">
        <v>32725</v>
      </c>
      <c r="H497" s="114">
        <f>SUM(E497:G497)</f>
        <v>196846</v>
      </c>
      <c r="I497" s="43">
        <v>99732</v>
      </c>
      <c r="J497" s="43">
        <v>44793</v>
      </c>
      <c r="K497" s="43">
        <v>14249</v>
      </c>
      <c r="L497" s="78">
        <f>SUM(I497:K497)</f>
        <v>158774</v>
      </c>
      <c r="M497" s="114">
        <f t="shared" ref="M497:O499" si="299">+E497-I497</f>
        <v>4044</v>
      </c>
      <c r="N497" s="115">
        <f t="shared" si="299"/>
        <v>15552</v>
      </c>
      <c r="O497" s="114">
        <f t="shared" si="299"/>
        <v>18476</v>
      </c>
      <c r="P497" s="116">
        <f>SUM(M497:O497)</f>
        <v>38072</v>
      </c>
      <c r="Q497" s="106"/>
    </row>
    <row r="498" spans="1:17" ht="12.75" customHeight="1">
      <c r="A498" s="113" t="s">
        <v>17</v>
      </c>
      <c r="B498" s="114"/>
      <c r="C498" s="114">
        <f>+H498</f>
        <v>11174</v>
      </c>
      <c r="D498" s="114">
        <f>+B498+C498</f>
        <v>11174</v>
      </c>
      <c r="E498" s="114">
        <v>9066</v>
      </c>
      <c r="F498" s="114">
        <v>2108</v>
      </c>
      <c r="G498" s="114"/>
      <c r="H498" s="114">
        <f>SUM(E498:G498)</f>
        <v>11174</v>
      </c>
      <c r="I498" s="43">
        <v>9066</v>
      </c>
      <c r="J498" s="43">
        <v>2106</v>
      </c>
      <c r="K498" s="43"/>
      <c r="L498" s="78">
        <f>SUM(I498:K498)</f>
        <v>11172</v>
      </c>
      <c r="M498" s="114">
        <f t="shared" si="299"/>
        <v>0</v>
      </c>
      <c r="N498" s="115">
        <f t="shared" si="299"/>
        <v>2</v>
      </c>
      <c r="O498" s="114">
        <f t="shared" si="299"/>
        <v>0</v>
      </c>
      <c r="P498" s="116">
        <f>SUM(M498:O498)</f>
        <v>2</v>
      </c>
      <c r="Q498" s="106"/>
    </row>
    <row r="499" spans="1:17" ht="12.75" customHeight="1">
      <c r="A499" s="113" t="s">
        <v>18</v>
      </c>
      <c r="B499" s="114">
        <v>9523</v>
      </c>
      <c r="C499" s="114"/>
      <c r="D499" s="114">
        <f>+B499+C499</f>
        <v>9523</v>
      </c>
      <c r="E499" s="114">
        <v>10036</v>
      </c>
      <c r="F499" s="114"/>
      <c r="G499" s="114"/>
      <c r="H499" s="114">
        <f>SUM(E499:G499)</f>
        <v>10036</v>
      </c>
      <c r="I499" s="43">
        <v>9431</v>
      </c>
      <c r="J499" s="43"/>
      <c r="K499" s="43"/>
      <c r="L499" s="78">
        <f>SUM(I499:K499)</f>
        <v>9431</v>
      </c>
      <c r="M499" s="114">
        <f t="shared" si="299"/>
        <v>605</v>
      </c>
      <c r="N499" s="115">
        <f t="shared" si="299"/>
        <v>0</v>
      </c>
      <c r="O499" s="114">
        <f t="shared" si="299"/>
        <v>0</v>
      </c>
      <c r="P499" s="116">
        <f>SUM(M499:O499)</f>
        <v>605</v>
      </c>
      <c r="Q499" s="106"/>
    </row>
    <row r="500" spans="1:17" ht="12.75" customHeight="1">
      <c r="A500" s="113" t="s">
        <v>19</v>
      </c>
      <c r="B500" s="102">
        <f>SUM(B501:B502)</f>
        <v>0</v>
      </c>
      <c r="C500" s="102">
        <f>SUM(C501:C502)</f>
        <v>0</v>
      </c>
      <c r="D500" s="102">
        <f>SUM(D501:D502)</f>
        <v>0</v>
      </c>
      <c r="E500" s="102">
        <f t="shared" ref="E500:P500" si="300">SUM(E501:E502)</f>
        <v>0</v>
      </c>
      <c r="F500" s="102">
        <f t="shared" si="300"/>
        <v>0</v>
      </c>
      <c r="G500" s="102">
        <f t="shared" si="300"/>
        <v>0</v>
      </c>
      <c r="H500" s="102">
        <f t="shared" si="300"/>
        <v>0</v>
      </c>
      <c r="I500" s="45">
        <f>SUM(I501:I502)</f>
        <v>0</v>
      </c>
      <c r="J500" s="45">
        <f>SUM(J501:J502)</f>
        <v>0</v>
      </c>
      <c r="K500" s="45">
        <f>SUM(K501:K502)</f>
        <v>0</v>
      </c>
      <c r="L500" s="103">
        <f>SUM(L501:L502)</f>
        <v>0</v>
      </c>
      <c r="M500" s="102">
        <f t="shared" si="300"/>
        <v>0</v>
      </c>
      <c r="N500" s="104">
        <f t="shared" si="300"/>
        <v>0</v>
      </c>
      <c r="O500" s="102">
        <f t="shared" si="300"/>
        <v>0</v>
      </c>
      <c r="P500" s="105">
        <f t="shared" si="300"/>
        <v>0</v>
      </c>
      <c r="Q500" s="106"/>
    </row>
    <row r="501" spans="1:17" ht="12.75" customHeight="1">
      <c r="A501" s="113" t="s">
        <v>20</v>
      </c>
      <c r="B501" s="114"/>
      <c r="C501" s="114">
        <f>+H501</f>
        <v>0</v>
      </c>
      <c r="D501" s="114">
        <f>+B501+C501</f>
        <v>0</v>
      </c>
      <c r="E501" s="114"/>
      <c r="F501" s="114"/>
      <c r="G501" s="114"/>
      <c r="H501" s="114">
        <f>SUM(E501:G501)</f>
        <v>0</v>
      </c>
      <c r="I501" s="43"/>
      <c r="J501" s="43"/>
      <c r="K501" s="43"/>
      <c r="L501" s="78">
        <f>SUM(I501:K501)</f>
        <v>0</v>
      </c>
      <c r="M501" s="114">
        <f t="shared" ref="M501:O502" si="301">+E501-I501</f>
        <v>0</v>
      </c>
      <c r="N501" s="115">
        <f t="shared" si="301"/>
        <v>0</v>
      </c>
      <c r="O501" s="114">
        <f t="shared" si="301"/>
        <v>0</v>
      </c>
      <c r="P501" s="116">
        <f>SUM(M501:O501)</f>
        <v>0</v>
      </c>
      <c r="Q501" s="106"/>
    </row>
    <row r="502" spans="1:17" ht="12.75" customHeight="1">
      <c r="A502" s="113" t="s">
        <v>21</v>
      </c>
      <c r="B502" s="114"/>
      <c r="C502" s="114">
        <f>+H502</f>
        <v>0</v>
      </c>
      <c r="D502" s="114">
        <f>+B502+C502</f>
        <v>0</v>
      </c>
      <c r="E502" s="114"/>
      <c r="F502" s="114"/>
      <c r="G502" s="114"/>
      <c r="H502" s="114">
        <f>SUM(E502:G502)</f>
        <v>0</v>
      </c>
      <c r="I502" s="43"/>
      <c r="J502" s="43"/>
      <c r="K502" s="43"/>
      <c r="L502" s="78">
        <f>SUM(I502:K502)</f>
        <v>0</v>
      </c>
      <c r="M502" s="114">
        <f t="shared" si="301"/>
        <v>0</v>
      </c>
      <c r="N502" s="115">
        <f t="shared" si="301"/>
        <v>0</v>
      </c>
      <c r="O502" s="114">
        <f t="shared" si="301"/>
        <v>0</v>
      </c>
      <c r="P502" s="116">
        <f>SUM(M502:O502)</f>
        <v>0</v>
      </c>
      <c r="Q502" s="106"/>
    </row>
    <row r="503" spans="1:17" ht="12.75" customHeight="1">
      <c r="A503" s="229"/>
      <c r="B503" s="230"/>
      <c r="C503" s="230"/>
      <c r="D503" s="230"/>
      <c r="E503" s="102"/>
      <c r="F503" s="102"/>
      <c r="G503" s="102"/>
      <c r="H503" s="102"/>
      <c r="I503" s="74"/>
      <c r="J503" s="74"/>
      <c r="K503" s="74"/>
      <c r="L503" s="138"/>
      <c r="M503" s="102"/>
      <c r="N503" s="104"/>
      <c r="O503" s="102"/>
      <c r="P503" s="105"/>
      <c r="Q503" s="227"/>
    </row>
    <row r="504" spans="1:17" ht="12.75" customHeight="1">
      <c r="A504" s="149" t="s">
        <v>276</v>
      </c>
      <c r="B504" s="102">
        <f>+B505+B509</f>
        <v>1825293</v>
      </c>
      <c r="C504" s="102">
        <f>+C505+C509</f>
        <v>289297</v>
      </c>
      <c r="D504" s="102">
        <f>+D505+D509</f>
        <v>2114590</v>
      </c>
      <c r="E504" s="102">
        <f t="shared" ref="E504:P504" si="302">+E505+E509</f>
        <v>1407976</v>
      </c>
      <c r="F504" s="102">
        <f t="shared" si="302"/>
        <v>590139</v>
      </c>
      <c r="G504" s="102">
        <f t="shared" si="302"/>
        <v>189588</v>
      </c>
      <c r="H504" s="102">
        <f t="shared" si="302"/>
        <v>2187703</v>
      </c>
      <c r="I504" s="139">
        <f>+I505+I509</f>
        <v>1393886</v>
      </c>
      <c r="J504" s="139">
        <f>+J505+J509</f>
        <v>474600</v>
      </c>
      <c r="K504" s="139">
        <f>+K505+K509</f>
        <v>102059</v>
      </c>
      <c r="L504" s="139">
        <f>+L505+L509</f>
        <v>1970545</v>
      </c>
      <c r="M504" s="102">
        <f t="shared" si="302"/>
        <v>14090</v>
      </c>
      <c r="N504" s="104">
        <f t="shared" si="302"/>
        <v>115539</v>
      </c>
      <c r="O504" s="102">
        <f t="shared" si="302"/>
        <v>87529</v>
      </c>
      <c r="P504" s="105">
        <f t="shared" si="302"/>
        <v>217158</v>
      </c>
      <c r="Q504" s="106">
        <f>+L504/H504</f>
        <v>0.90073698303654559</v>
      </c>
    </row>
    <row r="505" spans="1:17" ht="12.75" customHeight="1">
      <c r="A505" s="127" t="s">
        <v>15</v>
      </c>
      <c r="B505" s="108">
        <f>SUM(B506:B508)</f>
        <v>1825293</v>
      </c>
      <c r="C505" s="108">
        <f>SUM(C506:C508)</f>
        <v>286834</v>
      </c>
      <c r="D505" s="108">
        <f>SUM(D506:D508)</f>
        <v>2112127</v>
      </c>
      <c r="E505" s="108">
        <f t="shared" ref="E505:P505" si="303">SUM(E506:E508)</f>
        <v>1407976</v>
      </c>
      <c r="F505" s="108">
        <f t="shared" si="303"/>
        <v>588617</v>
      </c>
      <c r="G505" s="108">
        <f t="shared" si="303"/>
        <v>185099</v>
      </c>
      <c r="H505" s="108">
        <f t="shared" si="303"/>
        <v>2181692</v>
      </c>
      <c r="I505" s="141">
        <f>SUM(I506:I508)</f>
        <v>1393886</v>
      </c>
      <c r="J505" s="141">
        <f>SUM(J506:J508)</f>
        <v>473411</v>
      </c>
      <c r="K505" s="141">
        <f>SUM(K506:K508)</f>
        <v>98511</v>
      </c>
      <c r="L505" s="141">
        <f>SUM(L506:L508)</f>
        <v>1965808</v>
      </c>
      <c r="M505" s="108">
        <f t="shared" si="303"/>
        <v>14090</v>
      </c>
      <c r="N505" s="111">
        <f t="shared" si="303"/>
        <v>115206</v>
      </c>
      <c r="O505" s="108">
        <f t="shared" si="303"/>
        <v>86588</v>
      </c>
      <c r="P505" s="112">
        <f t="shared" si="303"/>
        <v>215884</v>
      </c>
      <c r="Q505" s="106"/>
    </row>
    <row r="506" spans="1:17" ht="12.75" customHeight="1">
      <c r="A506" s="113" t="s">
        <v>16</v>
      </c>
      <c r="B506" s="114">
        <f>+B515+B533+B542+B551+B560+B569+B578+B587+B524</f>
        <v>1721334</v>
      </c>
      <c r="C506" s="114">
        <f t="shared" ref="C506:K508" si="304">+C515+C533+C542+C551+C560+C569+C578+C587+C524</f>
        <v>116226</v>
      </c>
      <c r="D506" s="114">
        <f t="shared" si="304"/>
        <v>1837560</v>
      </c>
      <c r="E506" s="114">
        <f t="shared" si="304"/>
        <v>1128194</v>
      </c>
      <c r="F506" s="114">
        <f t="shared" si="304"/>
        <v>588617</v>
      </c>
      <c r="G506" s="114">
        <f t="shared" si="304"/>
        <v>185099</v>
      </c>
      <c r="H506" s="114">
        <f>SUM(E506:G506)</f>
        <v>1901910</v>
      </c>
      <c r="I506" s="143">
        <f t="shared" si="304"/>
        <v>1123261</v>
      </c>
      <c r="J506" s="143">
        <f t="shared" si="304"/>
        <v>473411</v>
      </c>
      <c r="K506" s="143">
        <f t="shared" si="304"/>
        <v>98511</v>
      </c>
      <c r="L506" s="143">
        <f>SUM(I506:K506)</f>
        <v>1695183</v>
      </c>
      <c r="M506" s="114">
        <f t="shared" ref="M506:O508" si="305">+E506-I506</f>
        <v>4933</v>
      </c>
      <c r="N506" s="115">
        <f t="shared" si="305"/>
        <v>115206</v>
      </c>
      <c r="O506" s="114">
        <f t="shared" si="305"/>
        <v>86588</v>
      </c>
      <c r="P506" s="116">
        <f>SUM(M506:O506)</f>
        <v>206727</v>
      </c>
      <c r="Q506" s="106"/>
    </row>
    <row r="507" spans="1:17" ht="12.75" customHeight="1">
      <c r="A507" s="113" t="s">
        <v>17</v>
      </c>
      <c r="B507" s="114">
        <f t="shared" ref="B507:G508" si="306">+B516+B534+B543+B552+B561+B570+B579+B588+B525</f>
        <v>0</v>
      </c>
      <c r="C507" s="114">
        <f t="shared" si="306"/>
        <v>166351</v>
      </c>
      <c r="D507" s="114">
        <f t="shared" si="306"/>
        <v>166351</v>
      </c>
      <c r="E507" s="114">
        <f t="shared" si="306"/>
        <v>168530</v>
      </c>
      <c r="F507" s="114">
        <f t="shared" si="306"/>
        <v>0</v>
      </c>
      <c r="G507" s="114">
        <f t="shared" si="306"/>
        <v>0</v>
      </c>
      <c r="H507" s="114">
        <f>SUM(E507:G507)</f>
        <v>168530</v>
      </c>
      <c r="I507" s="143">
        <f t="shared" si="304"/>
        <v>165620</v>
      </c>
      <c r="J507" s="143">
        <f t="shared" si="304"/>
        <v>0</v>
      </c>
      <c r="K507" s="143">
        <f t="shared" si="304"/>
        <v>0</v>
      </c>
      <c r="L507" s="143">
        <f>SUM(I507:K507)</f>
        <v>165620</v>
      </c>
      <c r="M507" s="114">
        <f t="shared" si="305"/>
        <v>2910</v>
      </c>
      <c r="N507" s="115">
        <f t="shared" si="305"/>
        <v>0</v>
      </c>
      <c r="O507" s="114">
        <f t="shared" si="305"/>
        <v>0</v>
      </c>
      <c r="P507" s="116">
        <f>SUM(M507:O507)</f>
        <v>2910</v>
      </c>
      <c r="Q507" s="106"/>
    </row>
    <row r="508" spans="1:17" ht="12.75" customHeight="1">
      <c r="A508" s="113" t="s">
        <v>18</v>
      </c>
      <c r="B508" s="114">
        <f t="shared" si="306"/>
        <v>103959</v>
      </c>
      <c r="C508" s="114">
        <f t="shared" si="306"/>
        <v>4257</v>
      </c>
      <c r="D508" s="114">
        <f t="shared" si="306"/>
        <v>108216</v>
      </c>
      <c r="E508" s="114">
        <f t="shared" si="306"/>
        <v>111252</v>
      </c>
      <c r="F508" s="114">
        <f t="shared" si="306"/>
        <v>0</v>
      </c>
      <c r="G508" s="114">
        <f t="shared" si="306"/>
        <v>0</v>
      </c>
      <c r="H508" s="114">
        <f>SUM(E508:G508)</f>
        <v>111252</v>
      </c>
      <c r="I508" s="143">
        <f t="shared" si="304"/>
        <v>105005</v>
      </c>
      <c r="J508" s="143">
        <f t="shared" si="304"/>
        <v>0</v>
      </c>
      <c r="K508" s="143">
        <f t="shared" si="304"/>
        <v>0</v>
      </c>
      <c r="L508" s="143">
        <f>SUM(I508:K508)</f>
        <v>105005</v>
      </c>
      <c r="M508" s="114">
        <f t="shared" si="305"/>
        <v>6247</v>
      </c>
      <c r="N508" s="115">
        <f t="shared" si="305"/>
        <v>0</v>
      </c>
      <c r="O508" s="114">
        <f t="shared" si="305"/>
        <v>0</v>
      </c>
      <c r="P508" s="116">
        <f>SUM(M508:O508)</f>
        <v>6247</v>
      </c>
      <c r="Q508" s="106"/>
    </row>
    <row r="509" spans="1:17" ht="12.75" customHeight="1">
      <c r="A509" s="113" t="s">
        <v>19</v>
      </c>
      <c r="B509" s="102">
        <f>SUM(B510:B511)</f>
        <v>0</v>
      </c>
      <c r="C509" s="102">
        <f>SUM(C510:C511)</f>
        <v>2463</v>
      </c>
      <c r="D509" s="102">
        <f>SUM(D510:D511)</f>
        <v>2463</v>
      </c>
      <c r="E509" s="102">
        <f t="shared" ref="E509:P509" si="307">SUM(E510:E511)</f>
        <v>0</v>
      </c>
      <c r="F509" s="102">
        <f t="shared" si="307"/>
        <v>1522</v>
      </c>
      <c r="G509" s="102">
        <f t="shared" si="307"/>
        <v>4489</v>
      </c>
      <c r="H509" s="102">
        <f t="shared" si="307"/>
        <v>6011</v>
      </c>
      <c r="I509" s="139">
        <f>SUM(I510:I511)</f>
        <v>0</v>
      </c>
      <c r="J509" s="139">
        <f>SUM(J510:J511)</f>
        <v>1189</v>
      </c>
      <c r="K509" s="139">
        <f>SUM(K510:K511)</f>
        <v>3548</v>
      </c>
      <c r="L509" s="139">
        <f>SUM(L510:L511)</f>
        <v>4737</v>
      </c>
      <c r="M509" s="102">
        <f t="shared" si="307"/>
        <v>0</v>
      </c>
      <c r="N509" s="104">
        <f t="shared" si="307"/>
        <v>333</v>
      </c>
      <c r="O509" s="102">
        <f t="shared" si="307"/>
        <v>941</v>
      </c>
      <c r="P509" s="105">
        <f t="shared" si="307"/>
        <v>1274</v>
      </c>
      <c r="Q509" s="106"/>
    </row>
    <row r="510" spans="1:17" ht="12.75" customHeight="1">
      <c r="A510" s="113" t="s">
        <v>20</v>
      </c>
      <c r="B510" s="114">
        <f t="shared" ref="B510:G511" si="308">+B519+B537+B546+B555+B564+B573+B582+B591+B528</f>
        <v>0</v>
      </c>
      <c r="C510" s="114">
        <f t="shared" si="308"/>
        <v>2463</v>
      </c>
      <c r="D510" s="114">
        <f t="shared" si="308"/>
        <v>2463</v>
      </c>
      <c r="E510" s="114">
        <f t="shared" si="308"/>
        <v>0</v>
      </c>
      <c r="F510" s="114">
        <f t="shared" si="308"/>
        <v>1522</v>
      </c>
      <c r="G510" s="114">
        <f t="shared" si="308"/>
        <v>4489</v>
      </c>
      <c r="H510" s="114">
        <f>SUM(E510:G510)</f>
        <v>6011</v>
      </c>
      <c r="I510" s="143">
        <f t="shared" ref="I510:K511" si="309">+I519+I537+I546+I555+I564+I573+I582+I591+I528</f>
        <v>0</v>
      </c>
      <c r="J510" s="143">
        <f t="shared" si="309"/>
        <v>1189</v>
      </c>
      <c r="K510" s="143">
        <f t="shared" si="309"/>
        <v>3548</v>
      </c>
      <c r="L510" s="143">
        <f>SUM(I510:K510)</f>
        <v>4737</v>
      </c>
      <c r="M510" s="114">
        <f t="shared" ref="M510:O511" si="310">+E510-I510</f>
        <v>0</v>
      </c>
      <c r="N510" s="115">
        <f t="shared" si="310"/>
        <v>333</v>
      </c>
      <c r="O510" s="114">
        <f t="shared" si="310"/>
        <v>941</v>
      </c>
      <c r="P510" s="116">
        <f>SUM(M510:O510)</f>
        <v>1274</v>
      </c>
      <c r="Q510" s="106"/>
    </row>
    <row r="511" spans="1:17" ht="12.75" customHeight="1">
      <c r="A511" s="113" t="s">
        <v>21</v>
      </c>
      <c r="B511" s="114">
        <f t="shared" si="308"/>
        <v>0</v>
      </c>
      <c r="C511" s="114">
        <f t="shared" si="308"/>
        <v>0</v>
      </c>
      <c r="D511" s="114">
        <f t="shared" si="308"/>
        <v>0</v>
      </c>
      <c r="E511" s="114">
        <f t="shared" si="308"/>
        <v>0</v>
      </c>
      <c r="F511" s="114">
        <f t="shared" si="308"/>
        <v>0</v>
      </c>
      <c r="G511" s="114">
        <f t="shared" si="308"/>
        <v>0</v>
      </c>
      <c r="H511" s="114">
        <f>SUM(E511:G511)</f>
        <v>0</v>
      </c>
      <c r="I511" s="143">
        <f t="shared" si="309"/>
        <v>0</v>
      </c>
      <c r="J511" s="143">
        <f t="shared" si="309"/>
        <v>0</v>
      </c>
      <c r="K511" s="143">
        <f t="shared" si="309"/>
        <v>0</v>
      </c>
      <c r="L511" s="143">
        <f>SUM(I511:K511)</f>
        <v>0</v>
      </c>
      <c r="M511" s="114">
        <f t="shared" si="310"/>
        <v>0</v>
      </c>
      <c r="N511" s="115">
        <f t="shared" si="310"/>
        <v>0</v>
      </c>
      <c r="O511" s="114">
        <f t="shared" si="310"/>
        <v>0</v>
      </c>
      <c r="P511" s="116">
        <f>SUM(M511:O511)</f>
        <v>0</v>
      </c>
      <c r="Q511" s="106"/>
    </row>
    <row r="512" spans="1:17" ht="12.75" customHeight="1">
      <c r="A512" s="149"/>
      <c r="B512" s="150"/>
      <c r="C512" s="150"/>
      <c r="D512" s="150"/>
      <c r="E512" s="114"/>
      <c r="F512" s="114"/>
      <c r="G512" s="114"/>
      <c r="H512" s="114"/>
      <c r="I512" s="43"/>
      <c r="J512" s="43"/>
      <c r="K512" s="43"/>
      <c r="L512" s="78"/>
      <c r="M512" s="114"/>
      <c r="N512" s="115"/>
      <c r="O512" s="114"/>
      <c r="P512" s="116"/>
      <c r="Q512" s="106"/>
    </row>
    <row r="513" spans="1:17" ht="12.75" customHeight="1">
      <c r="A513" s="120" t="s">
        <v>277</v>
      </c>
      <c r="B513" s="102">
        <f>+B514+B518</f>
        <v>605013</v>
      </c>
      <c r="C513" s="102">
        <f>+C514+C518</f>
        <v>143844</v>
      </c>
      <c r="D513" s="102">
        <f>+D514+D518</f>
        <v>748857</v>
      </c>
      <c r="E513" s="102">
        <f t="shared" ref="E513:P513" si="311">+E514+E518</f>
        <v>469373</v>
      </c>
      <c r="F513" s="102">
        <f t="shared" si="311"/>
        <v>200053</v>
      </c>
      <c r="G513" s="102">
        <f t="shared" si="311"/>
        <v>70174</v>
      </c>
      <c r="H513" s="102">
        <f t="shared" si="311"/>
        <v>739600</v>
      </c>
      <c r="I513" s="45">
        <f t="shared" si="311"/>
        <v>465931</v>
      </c>
      <c r="J513" s="45">
        <f t="shared" si="311"/>
        <v>170330</v>
      </c>
      <c r="K513" s="45">
        <f t="shared" si="311"/>
        <v>53385</v>
      </c>
      <c r="L513" s="103">
        <f t="shared" si="311"/>
        <v>689646</v>
      </c>
      <c r="M513" s="102">
        <f t="shared" si="311"/>
        <v>3442</v>
      </c>
      <c r="N513" s="104">
        <f t="shared" si="311"/>
        <v>29723</v>
      </c>
      <c r="O513" s="102">
        <f t="shared" si="311"/>
        <v>16789</v>
      </c>
      <c r="P513" s="105">
        <f t="shared" si="311"/>
        <v>49954</v>
      </c>
      <c r="Q513" s="106">
        <f>+L513/H513</f>
        <v>0.93245808545159548</v>
      </c>
    </row>
    <row r="514" spans="1:17" ht="12.75" customHeight="1">
      <c r="A514" s="127" t="s">
        <v>15</v>
      </c>
      <c r="B514" s="108">
        <f>SUM(B515:B517)</f>
        <v>605013</v>
      </c>
      <c r="C514" s="108">
        <f>SUM(C515:C517)</f>
        <v>143442</v>
      </c>
      <c r="D514" s="108">
        <f>SUM(D515:D517)</f>
        <v>748455</v>
      </c>
      <c r="E514" s="108">
        <f t="shared" ref="E514:P514" si="312">SUM(E515:E517)</f>
        <v>469373</v>
      </c>
      <c r="F514" s="108">
        <f t="shared" si="312"/>
        <v>199746</v>
      </c>
      <c r="G514" s="108">
        <f t="shared" si="312"/>
        <v>70079</v>
      </c>
      <c r="H514" s="108">
        <f t="shared" si="312"/>
        <v>739198</v>
      </c>
      <c r="I514" s="109">
        <f t="shared" si="312"/>
        <v>465931</v>
      </c>
      <c r="J514" s="109">
        <f t="shared" si="312"/>
        <v>170330</v>
      </c>
      <c r="K514" s="109">
        <f t="shared" si="312"/>
        <v>53385</v>
      </c>
      <c r="L514" s="110">
        <f t="shared" si="312"/>
        <v>689646</v>
      </c>
      <c r="M514" s="108">
        <f t="shared" si="312"/>
        <v>3442</v>
      </c>
      <c r="N514" s="111">
        <f t="shared" si="312"/>
        <v>29416</v>
      </c>
      <c r="O514" s="108">
        <f t="shared" si="312"/>
        <v>16694</v>
      </c>
      <c r="P514" s="112">
        <f t="shared" si="312"/>
        <v>49552</v>
      </c>
      <c r="Q514" s="106"/>
    </row>
    <row r="515" spans="1:17" ht="12.75" customHeight="1">
      <c r="A515" s="113" t="s">
        <v>16</v>
      </c>
      <c r="B515" s="114">
        <v>569596</v>
      </c>
      <c r="C515" s="114">
        <v>82802</v>
      </c>
      <c r="D515" s="114">
        <f>+B515+C515</f>
        <v>652398</v>
      </c>
      <c r="E515" s="114">
        <v>369850</v>
      </c>
      <c r="F515" s="114">
        <v>199746</v>
      </c>
      <c r="G515" s="114">
        <v>70079</v>
      </c>
      <c r="H515" s="114">
        <f>SUM(E515:G515)</f>
        <v>639675</v>
      </c>
      <c r="I515" s="43">
        <v>369850</v>
      </c>
      <c r="J515" s="43">
        <v>170330</v>
      </c>
      <c r="K515" s="43">
        <v>53385</v>
      </c>
      <c r="L515" s="78">
        <f>SUM(I515:K515)</f>
        <v>593565</v>
      </c>
      <c r="M515" s="114">
        <f t="shared" ref="M515:O517" si="313">+E515-I515</f>
        <v>0</v>
      </c>
      <c r="N515" s="115">
        <f t="shared" si="313"/>
        <v>29416</v>
      </c>
      <c r="O515" s="114">
        <f t="shared" si="313"/>
        <v>16694</v>
      </c>
      <c r="P515" s="116">
        <f>SUM(M515:O515)</f>
        <v>46110</v>
      </c>
      <c r="Q515" s="106"/>
    </row>
    <row r="516" spans="1:17" ht="12.75" customHeight="1">
      <c r="A516" s="113" t="s">
        <v>17</v>
      </c>
      <c r="B516" s="114"/>
      <c r="C516" s="114">
        <f>+H516</f>
        <v>60640</v>
      </c>
      <c r="D516" s="114">
        <f>+B516+C516</f>
        <v>60640</v>
      </c>
      <c r="E516" s="114">
        <v>60640</v>
      </c>
      <c r="F516" s="114"/>
      <c r="G516" s="114"/>
      <c r="H516" s="114">
        <f>SUM(E516:G516)</f>
        <v>60640</v>
      </c>
      <c r="I516" s="43">
        <v>60640</v>
      </c>
      <c r="J516" s="43"/>
      <c r="K516" s="43"/>
      <c r="L516" s="78">
        <f>SUM(I516:K516)</f>
        <v>60640</v>
      </c>
      <c r="M516" s="114">
        <f t="shared" si="313"/>
        <v>0</v>
      </c>
      <c r="N516" s="115">
        <f t="shared" si="313"/>
        <v>0</v>
      </c>
      <c r="O516" s="114">
        <f t="shared" si="313"/>
        <v>0</v>
      </c>
      <c r="P516" s="116">
        <f>SUM(M516:O516)</f>
        <v>0</v>
      </c>
      <c r="Q516" s="106"/>
    </row>
    <row r="517" spans="1:17" ht="12.75" customHeight="1">
      <c r="A517" s="113" t="s">
        <v>18</v>
      </c>
      <c r="B517" s="114">
        <v>35417</v>
      </c>
      <c r="C517" s="114"/>
      <c r="D517" s="114">
        <f>+B517+C517</f>
        <v>35417</v>
      </c>
      <c r="E517" s="114">
        <v>38883</v>
      </c>
      <c r="F517" s="114"/>
      <c r="G517" s="114"/>
      <c r="H517" s="114">
        <f>SUM(E517:G517)</f>
        <v>38883</v>
      </c>
      <c r="I517" s="43">
        <v>35441</v>
      </c>
      <c r="J517" s="43"/>
      <c r="K517" s="43"/>
      <c r="L517" s="78">
        <f>SUM(I517:K517)</f>
        <v>35441</v>
      </c>
      <c r="M517" s="114">
        <f t="shared" si="313"/>
        <v>3442</v>
      </c>
      <c r="N517" s="115">
        <f t="shared" si="313"/>
        <v>0</v>
      </c>
      <c r="O517" s="114">
        <f t="shared" si="313"/>
        <v>0</v>
      </c>
      <c r="P517" s="116">
        <f>SUM(M517:O517)</f>
        <v>3442</v>
      </c>
      <c r="Q517" s="106"/>
    </row>
    <row r="518" spans="1:17" ht="12.75" customHeight="1">
      <c r="A518" s="113" t="s">
        <v>19</v>
      </c>
      <c r="B518" s="102">
        <f>SUM(B519:B520)</f>
        <v>0</v>
      </c>
      <c r="C518" s="102">
        <f>SUM(C519:C520)</f>
        <v>402</v>
      </c>
      <c r="D518" s="102">
        <f>SUM(D519:D520)</f>
        <v>402</v>
      </c>
      <c r="E518" s="102">
        <f t="shared" ref="E518:P518" si="314">SUM(E519:E520)</f>
        <v>0</v>
      </c>
      <c r="F518" s="102">
        <f t="shared" si="314"/>
        <v>307</v>
      </c>
      <c r="G518" s="102">
        <f t="shared" si="314"/>
        <v>95</v>
      </c>
      <c r="H518" s="102">
        <f t="shared" si="314"/>
        <v>402</v>
      </c>
      <c r="I518" s="45">
        <f t="shared" si="314"/>
        <v>0</v>
      </c>
      <c r="J518" s="45">
        <f t="shared" si="314"/>
        <v>0</v>
      </c>
      <c r="K518" s="45">
        <f t="shared" si="314"/>
        <v>0</v>
      </c>
      <c r="L518" s="103">
        <f t="shared" si="314"/>
        <v>0</v>
      </c>
      <c r="M518" s="102">
        <f t="shared" si="314"/>
        <v>0</v>
      </c>
      <c r="N518" s="104">
        <f t="shared" si="314"/>
        <v>307</v>
      </c>
      <c r="O518" s="102">
        <f t="shared" si="314"/>
        <v>95</v>
      </c>
      <c r="P518" s="105">
        <f t="shared" si="314"/>
        <v>402</v>
      </c>
      <c r="Q518" s="106"/>
    </row>
    <row r="519" spans="1:17" ht="12.75" customHeight="1">
      <c r="A519" s="113" t="s">
        <v>20</v>
      </c>
      <c r="B519" s="114"/>
      <c r="C519" s="114">
        <f>H519</f>
        <v>402</v>
      </c>
      <c r="D519" s="114">
        <f>+B519+C519</f>
        <v>402</v>
      </c>
      <c r="E519" s="114"/>
      <c r="F519" s="43">
        <v>307</v>
      </c>
      <c r="G519" s="43">
        <v>95</v>
      </c>
      <c r="H519" s="114">
        <f>SUM(E519:G519)</f>
        <v>402</v>
      </c>
      <c r="I519" s="43"/>
      <c r="J519" s="43"/>
      <c r="K519" s="43"/>
      <c r="L519" s="78">
        <f>SUM(I519:K519)</f>
        <v>0</v>
      </c>
      <c r="M519" s="114">
        <f t="shared" ref="M519:O520" si="315">+E519-I519</f>
        <v>0</v>
      </c>
      <c r="N519" s="115">
        <f t="shared" si="315"/>
        <v>307</v>
      </c>
      <c r="O519" s="114">
        <f t="shared" si="315"/>
        <v>95</v>
      </c>
      <c r="P519" s="116">
        <f>SUM(M519:O519)</f>
        <v>402</v>
      </c>
      <c r="Q519" s="106"/>
    </row>
    <row r="520" spans="1:17" ht="12.75" customHeight="1">
      <c r="A520" s="113" t="s">
        <v>21</v>
      </c>
      <c r="B520" s="114"/>
      <c r="C520" s="114">
        <f>+H520</f>
        <v>0</v>
      </c>
      <c r="D520" s="114">
        <f>+B520+C520</f>
        <v>0</v>
      </c>
      <c r="E520" s="114"/>
      <c r="F520" s="114"/>
      <c r="G520" s="114"/>
      <c r="H520" s="114">
        <f>SUM(E520:G520)</f>
        <v>0</v>
      </c>
      <c r="I520" s="43"/>
      <c r="J520" s="43"/>
      <c r="K520" s="43"/>
      <c r="L520" s="78">
        <f>SUM(I520:K520)</f>
        <v>0</v>
      </c>
      <c r="M520" s="114">
        <f t="shared" si="315"/>
        <v>0</v>
      </c>
      <c r="N520" s="115">
        <f t="shared" si="315"/>
        <v>0</v>
      </c>
      <c r="O520" s="114">
        <f t="shared" si="315"/>
        <v>0</v>
      </c>
      <c r="P520" s="116">
        <f>SUM(M520:O520)</f>
        <v>0</v>
      </c>
      <c r="Q520" s="106"/>
    </row>
    <row r="521" spans="1:17" ht="12.75" customHeight="1">
      <c r="A521" s="121"/>
      <c r="B521" s="122"/>
      <c r="C521" s="122"/>
      <c r="D521" s="122"/>
      <c r="E521" s="114"/>
      <c r="F521" s="114"/>
      <c r="G521" s="114"/>
      <c r="H521" s="114"/>
      <c r="I521" s="43"/>
      <c r="J521" s="43"/>
      <c r="K521" s="43"/>
      <c r="L521" s="78"/>
      <c r="M521" s="114"/>
      <c r="N521" s="115"/>
      <c r="O521" s="114"/>
      <c r="P521" s="116"/>
      <c r="Q521" s="106"/>
    </row>
    <row r="522" spans="1:17">
      <c r="A522" s="120" t="s">
        <v>278</v>
      </c>
      <c r="B522" s="102">
        <f t="shared" ref="B522:P522" si="316">+B523+B527</f>
        <v>0</v>
      </c>
      <c r="C522" s="102">
        <f t="shared" si="316"/>
        <v>91442</v>
      </c>
      <c r="D522" s="102">
        <f t="shared" si="316"/>
        <v>91442</v>
      </c>
      <c r="E522" s="102">
        <f t="shared" si="316"/>
        <v>50838</v>
      </c>
      <c r="F522" s="102">
        <f t="shared" si="316"/>
        <v>34260</v>
      </c>
      <c r="G522" s="102">
        <f t="shared" si="316"/>
        <v>8523</v>
      </c>
      <c r="H522" s="102">
        <f t="shared" si="316"/>
        <v>93621</v>
      </c>
      <c r="I522" s="45">
        <f t="shared" si="316"/>
        <v>50834</v>
      </c>
      <c r="J522" s="45">
        <f t="shared" si="316"/>
        <v>22668</v>
      </c>
      <c r="K522" s="45">
        <f t="shared" si="316"/>
        <v>0</v>
      </c>
      <c r="L522" s="103">
        <f t="shared" si="316"/>
        <v>73502</v>
      </c>
      <c r="M522" s="102">
        <f t="shared" si="316"/>
        <v>4</v>
      </c>
      <c r="N522" s="104">
        <f t="shared" si="316"/>
        <v>11592</v>
      </c>
      <c r="O522" s="102">
        <f t="shared" si="316"/>
        <v>8523</v>
      </c>
      <c r="P522" s="105">
        <f t="shared" si="316"/>
        <v>20119</v>
      </c>
      <c r="Q522" s="106">
        <f>+L522/H522</f>
        <v>0.78510163318058979</v>
      </c>
    </row>
    <row r="523" spans="1:17" ht="12.75" customHeight="1">
      <c r="A523" s="127" t="s">
        <v>15</v>
      </c>
      <c r="B523" s="108">
        <f t="shared" ref="B523:P523" si="317">SUM(B524:B526)</f>
        <v>0</v>
      </c>
      <c r="C523" s="108">
        <f t="shared" si="317"/>
        <v>91442</v>
      </c>
      <c r="D523" s="108">
        <f t="shared" si="317"/>
        <v>91442</v>
      </c>
      <c r="E523" s="108">
        <f t="shared" si="317"/>
        <v>50838</v>
      </c>
      <c r="F523" s="108">
        <f t="shared" si="317"/>
        <v>34260</v>
      </c>
      <c r="G523" s="108">
        <f t="shared" si="317"/>
        <v>8523</v>
      </c>
      <c r="H523" s="108">
        <f t="shared" si="317"/>
        <v>93621</v>
      </c>
      <c r="I523" s="109">
        <f t="shared" si="317"/>
        <v>50834</v>
      </c>
      <c r="J523" s="109">
        <f t="shared" si="317"/>
        <v>22668</v>
      </c>
      <c r="K523" s="109">
        <f t="shared" si="317"/>
        <v>0</v>
      </c>
      <c r="L523" s="110">
        <f t="shared" si="317"/>
        <v>73502</v>
      </c>
      <c r="M523" s="108">
        <f t="shared" si="317"/>
        <v>4</v>
      </c>
      <c r="N523" s="111">
        <f t="shared" si="317"/>
        <v>11592</v>
      </c>
      <c r="O523" s="108">
        <f t="shared" si="317"/>
        <v>8523</v>
      </c>
      <c r="P523" s="112">
        <f t="shared" si="317"/>
        <v>20119</v>
      </c>
      <c r="Q523" s="106"/>
    </row>
    <row r="524" spans="1:17" ht="12.75" customHeight="1">
      <c r="A524" s="113" t="s">
        <v>16</v>
      </c>
      <c r="B524" s="114"/>
      <c r="C524" s="114">
        <f>+H524</f>
        <v>87185</v>
      </c>
      <c r="D524" s="114">
        <f>+B524+C524</f>
        <v>87185</v>
      </c>
      <c r="E524" s="114">
        <v>44402</v>
      </c>
      <c r="F524" s="114">
        <v>34260</v>
      </c>
      <c r="G524" s="114">
        <v>8523</v>
      </c>
      <c r="H524" s="114">
        <f>SUM(E524:G524)</f>
        <v>87185</v>
      </c>
      <c r="I524" s="43">
        <f>46581-2179</f>
        <v>44402</v>
      </c>
      <c r="J524" s="43">
        <v>22668</v>
      </c>
      <c r="K524" s="43"/>
      <c r="L524" s="78">
        <f>SUM(I524:K524)</f>
        <v>67070</v>
      </c>
      <c r="M524" s="114">
        <f t="shared" ref="M524:O526" si="318">+E524-I524</f>
        <v>0</v>
      </c>
      <c r="N524" s="115">
        <f t="shared" si="318"/>
        <v>11592</v>
      </c>
      <c r="O524" s="114">
        <f t="shared" si="318"/>
        <v>8523</v>
      </c>
      <c r="P524" s="116">
        <f>SUM(M524:O524)</f>
        <v>20115</v>
      </c>
      <c r="Q524" s="106"/>
    </row>
    <row r="525" spans="1:17" ht="12.75" customHeight="1">
      <c r="A525" s="113" t="s">
        <v>17</v>
      </c>
      <c r="B525" s="114"/>
      <c r="C525" s="114"/>
      <c r="D525" s="114">
        <f>+B525+C525</f>
        <v>0</v>
      </c>
      <c r="E525" s="114">
        <v>2179</v>
      </c>
      <c r="F525" s="114"/>
      <c r="G525" s="114"/>
      <c r="H525" s="114">
        <f>SUM(E525:G525)</f>
        <v>2179</v>
      </c>
      <c r="I525" s="43">
        <v>2179</v>
      </c>
      <c r="J525" s="43"/>
      <c r="K525" s="43"/>
      <c r="L525" s="78">
        <f>SUM(I525:K525)</f>
        <v>2179</v>
      </c>
      <c r="M525" s="114">
        <f t="shared" si="318"/>
        <v>0</v>
      </c>
      <c r="N525" s="115">
        <f t="shared" si="318"/>
        <v>0</v>
      </c>
      <c r="O525" s="114">
        <f t="shared" si="318"/>
        <v>0</v>
      </c>
      <c r="P525" s="116">
        <f>SUM(M525:O525)</f>
        <v>0</v>
      </c>
      <c r="Q525" s="106"/>
    </row>
    <row r="526" spans="1:17" ht="12.75" customHeight="1">
      <c r="A526" s="113" t="s">
        <v>18</v>
      </c>
      <c r="B526" s="114"/>
      <c r="C526" s="114">
        <f>+H526</f>
        <v>4257</v>
      </c>
      <c r="D526" s="114">
        <f>+B526+C526</f>
        <v>4257</v>
      </c>
      <c r="E526" s="114">
        <v>4257</v>
      </c>
      <c r="F526" s="114"/>
      <c r="G526" s="114"/>
      <c r="H526" s="114">
        <f>SUM(E526:G526)</f>
        <v>4257</v>
      </c>
      <c r="I526" s="43">
        <v>4253</v>
      </c>
      <c r="J526" s="43"/>
      <c r="K526" s="43"/>
      <c r="L526" s="78">
        <f>SUM(I526:K526)</f>
        <v>4253</v>
      </c>
      <c r="M526" s="114">
        <f t="shared" si="318"/>
        <v>4</v>
      </c>
      <c r="N526" s="115">
        <f t="shared" si="318"/>
        <v>0</v>
      </c>
      <c r="O526" s="114">
        <f t="shared" si="318"/>
        <v>0</v>
      </c>
      <c r="P526" s="116">
        <f>SUM(M526:O526)</f>
        <v>4</v>
      </c>
      <c r="Q526" s="106"/>
    </row>
    <row r="527" spans="1:17" ht="12.75" customHeight="1">
      <c r="A527" s="113" t="s">
        <v>19</v>
      </c>
      <c r="B527" s="102">
        <f t="shared" ref="B527:P527" si="319">SUM(B528:B529)</f>
        <v>0</v>
      </c>
      <c r="C527" s="102">
        <f t="shared" si="319"/>
        <v>0</v>
      </c>
      <c r="D527" s="102">
        <f t="shared" si="319"/>
        <v>0</v>
      </c>
      <c r="E527" s="102">
        <f t="shared" si="319"/>
        <v>0</v>
      </c>
      <c r="F527" s="102">
        <f t="shared" si="319"/>
        <v>0</v>
      </c>
      <c r="G527" s="102">
        <f t="shared" si="319"/>
        <v>0</v>
      </c>
      <c r="H527" s="102">
        <f t="shared" si="319"/>
        <v>0</v>
      </c>
      <c r="I527" s="45">
        <f t="shared" si="319"/>
        <v>0</v>
      </c>
      <c r="J527" s="45">
        <f t="shared" si="319"/>
        <v>0</v>
      </c>
      <c r="K527" s="45">
        <f t="shared" si="319"/>
        <v>0</v>
      </c>
      <c r="L527" s="103">
        <f t="shared" si="319"/>
        <v>0</v>
      </c>
      <c r="M527" s="102">
        <f t="shared" si="319"/>
        <v>0</v>
      </c>
      <c r="N527" s="104">
        <f t="shared" si="319"/>
        <v>0</v>
      </c>
      <c r="O527" s="102">
        <f t="shared" si="319"/>
        <v>0</v>
      </c>
      <c r="P527" s="105">
        <f t="shared" si="319"/>
        <v>0</v>
      </c>
      <c r="Q527" s="106"/>
    </row>
    <row r="528" spans="1:17" ht="12.75" customHeight="1">
      <c r="A528" s="113" t="s">
        <v>20</v>
      </c>
      <c r="B528" s="114"/>
      <c r="C528" s="114"/>
      <c r="D528" s="114">
        <f>+B528+C528</f>
        <v>0</v>
      </c>
      <c r="E528" s="114"/>
      <c r="F528" s="114"/>
      <c r="G528" s="114"/>
      <c r="H528" s="114">
        <f>SUM(E528:G528)</f>
        <v>0</v>
      </c>
      <c r="I528" s="43"/>
      <c r="J528" s="43"/>
      <c r="K528" s="43"/>
      <c r="L528" s="78">
        <f>SUM(I528:K528)</f>
        <v>0</v>
      </c>
      <c r="M528" s="114">
        <f t="shared" ref="M528:O529" si="320">+E528-I528</f>
        <v>0</v>
      </c>
      <c r="N528" s="115">
        <f t="shared" si="320"/>
        <v>0</v>
      </c>
      <c r="O528" s="114">
        <f t="shared" si="320"/>
        <v>0</v>
      </c>
      <c r="P528" s="116">
        <f>SUM(M528:O528)</f>
        <v>0</v>
      </c>
      <c r="Q528" s="106"/>
    </row>
    <row r="529" spans="1:17" ht="12.75" customHeight="1">
      <c r="A529" s="113" t="s">
        <v>21</v>
      </c>
      <c r="B529" s="114"/>
      <c r="C529" s="114">
        <f>+H529</f>
        <v>0</v>
      </c>
      <c r="D529" s="114">
        <f>+B529+C529</f>
        <v>0</v>
      </c>
      <c r="E529" s="114"/>
      <c r="F529" s="114"/>
      <c r="G529" s="114"/>
      <c r="H529" s="114">
        <f>SUM(E529:G529)</f>
        <v>0</v>
      </c>
      <c r="I529" s="43"/>
      <c r="J529" s="43"/>
      <c r="K529" s="43"/>
      <c r="L529" s="78">
        <f>SUM(I529:K529)</f>
        <v>0</v>
      </c>
      <c r="M529" s="114">
        <f t="shared" si="320"/>
        <v>0</v>
      </c>
      <c r="N529" s="115">
        <f t="shared" si="320"/>
        <v>0</v>
      </c>
      <c r="O529" s="114">
        <f t="shared" si="320"/>
        <v>0</v>
      </c>
      <c r="P529" s="116">
        <f>SUM(M529:O529)</f>
        <v>0</v>
      </c>
      <c r="Q529" s="106"/>
    </row>
    <row r="530" spans="1:17" ht="12.75" customHeight="1">
      <c r="A530" s="121"/>
      <c r="B530" s="122"/>
      <c r="C530" s="122"/>
      <c r="D530" s="122"/>
      <c r="E530" s="114"/>
      <c r="F530" s="114"/>
      <c r="G530" s="114"/>
      <c r="H530" s="114"/>
      <c r="I530" s="43"/>
      <c r="J530" s="43"/>
      <c r="K530" s="43"/>
      <c r="L530" s="78"/>
      <c r="M530" s="114"/>
      <c r="N530" s="115"/>
      <c r="O530" s="114"/>
      <c r="P530" s="116"/>
      <c r="Q530" s="106"/>
    </row>
    <row r="531" spans="1:17" ht="12.75" customHeight="1">
      <c r="A531" s="135" t="s">
        <v>279</v>
      </c>
      <c r="B531" s="102">
        <f>+B532+B536</f>
        <v>161246</v>
      </c>
      <c r="C531" s="102">
        <f>+C532+C536</f>
        <v>19310</v>
      </c>
      <c r="D531" s="102">
        <f>+D532+D536</f>
        <v>180556</v>
      </c>
      <c r="E531" s="102">
        <f t="shared" ref="E531:P531" si="321">+E532+E536</f>
        <v>147420</v>
      </c>
      <c r="F531" s="102">
        <f t="shared" si="321"/>
        <v>34560</v>
      </c>
      <c r="G531" s="102">
        <f t="shared" si="321"/>
        <v>12723</v>
      </c>
      <c r="H531" s="102">
        <f t="shared" si="321"/>
        <v>194703</v>
      </c>
      <c r="I531" s="45">
        <f t="shared" si="321"/>
        <v>143524</v>
      </c>
      <c r="J531" s="45">
        <f t="shared" si="321"/>
        <v>29577</v>
      </c>
      <c r="K531" s="45">
        <f t="shared" si="321"/>
        <v>12683</v>
      </c>
      <c r="L531" s="103">
        <f t="shared" si="321"/>
        <v>185784</v>
      </c>
      <c r="M531" s="102">
        <f t="shared" si="321"/>
        <v>3896</v>
      </c>
      <c r="N531" s="104">
        <f t="shared" si="321"/>
        <v>4983</v>
      </c>
      <c r="O531" s="102">
        <f t="shared" si="321"/>
        <v>40</v>
      </c>
      <c r="P531" s="105">
        <f t="shared" si="321"/>
        <v>8919</v>
      </c>
      <c r="Q531" s="106">
        <f>+L531/H531</f>
        <v>0.95419176900201841</v>
      </c>
    </row>
    <row r="532" spans="1:17" ht="12.75" customHeight="1">
      <c r="A532" s="127" t="s">
        <v>15</v>
      </c>
      <c r="B532" s="108">
        <f>SUM(B533:B535)</f>
        <v>161246</v>
      </c>
      <c r="C532" s="108">
        <f>SUM(C533:C535)</f>
        <v>19288</v>
      </c>
      <c r="D532" s="108">
        <f>SUM(D533:D535)</f>
        <v>180534</v>
      </c>
      <c r="E532" s="108">
        <f t="shared" ref="E532:P532" si="322">SUM(E533:E535)</f>
        <v>147420</v>
      </c>
      <c r="F532" s="108">
        <f t="shared" si="322"/>
        <v>34538</v>
      </c>
      <c r="G532" s="108">
        <f t="shared" si="322"/>
        <v>12723</v>
      </c>
      <c r="H532" s="108">
        <f t="shared" si="322"/>
        <v>194681</v>
      </c>
      <c r="I532" s="109">
        <f t="shared" si="322"/>
        <v>143524</v>
      </c>
      <c r="J532" s="109">
        <f t="shared" si="322"/>
        <v>29577</v>
      </c>
      <c r="K532" s="109">
        <f t="shared" si="322"/>
        <v>12683</v>
      </c>
      <c r="L532" s="110">
        <f t="shared" si="322"/>
        <v>185784</v>
      </c>
      <c r="M532" s="108">
        <f t="shared" si="322"/>
        <v>3896</v>
      </c>
      <c r="N532" s="111">
        <f t="shared" si="322"/>
        <v>4961</v>
      </c>
      <c r="O532" s="108">
        <f t="shared" si="322"/>
        <v>40</v>
      </c>
      <c r="P532" s="112">
        <f t="shared" si="322"/>
        <v>8897</v>
      </c>
      <c r="Q532" s="106"/>
    </row>
    <row r="533" spans="1:17" ht="12.75" customHeight="1">
      <c r="A533" s="113" t="s">
        <v>16</v>
      </c>
      <c r="B533" s="114">
        <v>150877</v>
      </c>
      <c r="C533" s="114"/>
      <c r="D533" s="114">
        <f>+B533+C533</f>
        <v>150877</v>
      </c>
      <c r="E533" s="114">
        <v>116339</v>
      </c>
      <c r="F533" s="114">
        <v>34538</v>
      </c>
      <c r="G533" s="114">
        <v>12723</v>
      </c>
      <c r="H533" s="114">
        <f>SUM(E533:G533)</f>
        <v>163600</v>
      </c>
      <c r="I533" s="43">
        <v>116339</v>
      </c>
      <c r="J533" s="43">
        <v>29577</v>
      </c>
      <c r="K533" s="43">
        <v>12683</v>
      </c>
      <c r="L533" s="78">
        <f>SUM(I533:K533)</f>
        <v>158599</v>
      </c>
      <c r="M533" s="114">
        <f t="shared" ref="M533:O535" si="323">+E533-I533</f>
        <v>0</v>
      </c>
      <c r="N533" s="115">
        <f t="shared" si="323"/>
        <v>4961</v>
      </c>
      <c r="O533" s="114">
        <f t="shared" si="323"/>
        <v>40</v>
      </c>
      <c r="P533" s="116">
        <f>SUM(M533:O533)</f>
        <v>5001</v>
      </c>
      <c r="Q533" s="106"/>
    </row>
    <row r="534" spans="1:17" ht="12.75" customHeight="1">
      <c r="A534" s="113" t="s">
        <v>17</v>
      </c>
      <c r="B534" s="114"/>
      <c r="C534" s="114">
        <f>+H534</f>
        <v>19288</v>
      </c>
      <c r="D534" s="114">
        <f>+B534+C534</f>
        <v>19288</v>
      </c>
      <c r="E534" s="114">
        <v>19288</v>
      </c>
      <c r="F534" s="114"/>
      <c r="G534" s="114"/>
      <c r="H534" s="114">
        <f>SUM(E534:G534)</f>
        <v>19288</v>
      </c>
      <c r="I534" s="43">
        <v>16493</v>
      </c>
      <c r="J534" s="43"/>
      <c r="K534" s="43"/>
      <c r="L534" s="78">
        <f>SUM(I534:K534)</f>
        <v>16493</v>
      </c>
      <c r="M534" s="114">
        <f t="shared" si="323"/>
        <v>2795</v>
      </c>
      <c r="N534" s="115">
        <f t="shared" si="323"/>
        <v>0</v>
      </c>
      <c r="O534" s="114">
        <f t="shared" si="323"/>
        <v>0</v>
      </c>
      <c r="P534" s="116">
        <f>SUM(M534:O534)</f>
        <v>2795</v>
      </c>
      <c r="Q534" s="106"/>
    </row>
    <row r="535" spans="1:17" ht="12.75" customHeight="1">
      <c r="A535" s="113" t="s">
        <v>18</v>
      </c>
      <c r="B535" s="114">
        <v>10369</v>
      </c>
      <c r="C535" s="114"/>
      <c r="D535" s="114">
        <f>+B535+C535</f>
        <v>10369</v>
      </c>
      <c r="E535" s="114">
        <v>11793</v>
      </c>
      <c r="F535" s="114"/>
      <c r="G535" s="114"/>
      <c r="H535" s="114">
        <f>SUM(E535:G535)</f>
        <v>11793</v>
      </c>
      <c r="I535" s="43">
        <v>10692</v>
      </c>
      <c r="J535" s="43"/>
      <c r="K535" s="43"/>
      <c r="L535" s="78">
        <f>SUM(I535:K535)</f>
        <v>10692</v>
      </c>
      <c r="M535" s="114">
        <f t="shared" si="323"/>
        <v>1101</v>
      </c>
      <c r="N535" s="115">
        <f t="shared" si="323"/>
        <v>0</v>
      </c>
      <c r="O535" s="114">
        <f t="shared" si="323"/>
        <v>0</v>
      </c>
      <c r="P535" s="116">
        <f>SUM(M535:O535)</f>
        <v>1101</v>
      </c>
      <c r="Q535" s="106"/>
    </row>
    <row r="536" spans="1:17" ht="12.75" customHeight="1">
      <c r="A536" s="113" t="s">
        <v>19</v>
      </c>
      <c r="B536" s="102">
        <f>SUM(B537:B538)</f>
        <v>0</v>
      </c>
      <c r="C536" s="102">
        <f>SUM(C537:C538)</f>
        <v>22</v>
      </c>
      <c r="D536" s="102">
        <f>SUM(D537:D538)</f>
        <v>22</v>
      </c>
      <c r="E536" s="102">
        <f t="shared" ref="E536:P536" si="324">SUM(E537:E538)</f>
        <v>0</v>
      </c>
      <c r="F536" s="102">
        <f t="shared" si="324"/>
        <v>22</v>
      </c>
      <c r="G536" s="102">
        <f t="shared" si="324"/>
        <v>0</v>
      </c>
      <c r="H536" s="102">
        <f t="shared" si="324"/>
        <v>22</v>
      </c>
      <c r="I536" s="45">
        <f t="shared" si="324"/>
        <v>0</v>
      </c>
      <c r="J536" s="45">
        <f t="shared" si="324"/>
        <v>0</v>
      </c>
      <c r="K536" s="45">
        <f t="shared" si="324"/>
        <v>0</v>
      </c>
      <c r="L536" s="103">
        <f t="shared" si="324"/>
        <v>0</v>
      </c>
      <c r="M536" s="102">
        <f t="shared" si="324"/>
        <v>0</v>
      </c>
      <c r="N536" s="104">
        <f t="shared" si="324"/>
        <v>22</v>
      </c>
      <c r="O536" s="102">
        <f t="shared" si="324"/>
        <v>0</v>
      </c>
      <c r="P536" s="105">
        <f t="shared" si="324"/>
        <v>22</v>
      </c>
      <c r="Q536" s="106"/>
    </row>
    <row r="537" spans="1:17" ht="12.75" customHeight="1">
      <c r="A537" s="113" t="s">
        <v>20</v>
      </c>
      <c r="B537" s="114"/>
      <c r="C537" s="114">
        <f>+H537</f>
        <v>22</v>
      </c>
      <c r="D537" s="114">
        <f>+B537+C537</f>
        <v>22</v>
      </c>
      <c r="E537" s="114"/>
      <c r="F537" s="114">
        <v>22</v>
      </c>
      <c r="G537" s="114"/>
      <c r="H537" s="114">
        <f>SUM(E537:G537)</f>
        <v>22</v>
      </c>
      <c r="I537" s="43"/>
      <c r="J537" s="43"/>
      <c r="K537" s="43"/>
      <c r="L537" s="78">
        <f>SUM(I537:K537)</f>
        <v>0</v>
      </c>
      <c r="M537" s="114">
        <f t="shared" ref="M537:O538" si="325">+E537-I537</f>
        <v>0</v>
      </c>
      <c r="N537" s="115">
        <f t="shared" si="325"/>
        <v>22</v>
      </c>
      <c r="O537" s="114">
        <f t="shared" si="325"/>
        <v>0</v>
      </c>
      <c r="P537" s="116">
        <f>SUM(M537:O537)</f>
        <v>22</v>
      </c>
      <c r="Q537" s="106"/>
    </row>
    <row r="538" spans="1:17" ht="12.75" customHeight="1">
      <c r="A538" s="113" t="s">
        <v>21</v>
      </c>
      <c r="B538" s="114"/>
      <c r="C538" s="114"/>
      <c r="D538" s="114">
        <f>+B538+C538</f>
        <v>0</v>
      </c>
      <c r="E538" s="114"/>
      <c r="F538" s="114"/>
      <c r="G538" s="114"/>
      <c r="H538" s="114">
        <f>SUM(E538:G538)</f>
        <v>0</v>
      </c>
      <c r="I538" s="43"/>
      <c r="J538" s="43"/>
      <c r="K538" s="43"/>
      <c r="L538" s="78">
        <f>SUM(I538:K538)</f>
        <v>0</v>
      </c>
      <c r="M538" s="114">
        <f t="shared" si="325"/>
        <v>0</v>
      </c>
      <c r="N538" s="115">
        <f t="shared" si="325"/>
        <v>0</v>
      </c>
      <c r="O538" s="114">
        <f t="shared" si="325"/>
        <v>0</v>
      </c>
      <c r="P538" s="116">
        <f>SUM(M538:O538)</f>
        <v>0</v>
      </c>
      <c r="Q538" s="106"/>
    </row>
    <row r="539" spans="1:17" ht="12.75" customHeight="1">
      <c r="A539" s="127"/>
      <c r="B539" s="137"/>
      <c r="C539" s="137"/>
      <c r="D539" s="137"/>
      <c r="E539" s="114"/>
      <c r="F539" s="114"/>
      <c r="G539" s="114"/>
      <c r="H539" s="114"/>
      <c r="I539" s="43"/>
      <c r="J539" s="43"/>
      <c r="K539" s="43"/>
      <c r="L539" s="78"/>
      <c r="M539" s="114"/>
      <c r="N539" s="115"/>
      <c r="O539" s="114"/>
      <c r="P539" s="116"/>
      <c r="Q539" s="106"/>
    </row>
    <row r="540" spans="1:17" ht="12.75" customHeight="1">
      <c r="A540" s="135" t="s">
        <v>280</v>
      </c>
      <c r="B540" s="102">
        <f>+B541+B545</f>
        <v>170811</v>
      </c>
      <c r="C540" s="102">
        <f>+C541+C545</f>
        <v>-62162</v>
      </c>
      <c r="D540" s="102">
        <f>+D541+D545</f>
        <v>108649</v>
      </c>
      <c r="E540" s="102">
        <f t="shared" ref="E540:P540" si="326">+E541+E545</f>
        <v>48845</v>
      </c>
      <c r="F540" s="102">
        <f t="shared" si="326"/>
        <v>39372</v>
      </c>
      <c r="G540" s="102">
        <f t="shared" si="326"/>
        <v>19783</v>
      </c>
      <c r="H540" s="102">
        <f t="shared" si="326"/>
        <v>108000</v>
      </c>
      <c r="I540" s="45">
        <f t="shared" si="326"/>
        <v>48227</v>
      </c>
      <c r="J540" s="45">
        <f t="shared" si="326"/>
        <v>35539</v>
      </c>
      <c r="K540" s="45">
        <f t="shared" si="326"/>
        <v>19783</v>
      </c>
      <c r="L540" s="103">
        <f t="shared" si="326"/>
        <v>103549</v>
      </c>
      <c r="M540" s="102">
        <f t="shared" si="326"/>
        <v>618</v>
      </c>
      <c r="N540" s="104">
        <f t="shared" si="326"/>
        <v>3833</v>
      </c>
      <c r="O540" s="102">
        <f t="shared" si="326"/>
        <v>0</v>
      </c>
      <c r="P540" s="105">
        <f t="shared" si="326"/>
        <v>4451</v>
      </c>
      <c r="Q540" s="106">
        <f>+L540/H540</f>
        <v>0.95878703703703705</v>
      </c>
    </row>
    <row r="541" spans="1:17" ht="12.75" customHeight="1">
      <c r="A541" s="127" t="s">
        <v>15</v>
      </c>
      <c r="B541" s="108">
        <f>SUM(B542:B544)</f>
        <v>170811</v>
      </c>
      <c r="C541" s="108">
        <f>SUM(C542:C544)</f>
        <v>-62162</v>
      </c>
      <c r="D541" s="108">
        <f>SUM(D542:D544)</f>
        <v>108649</v>
      </c>
      <c r="E541" s="108">
        <f t="shared" ref="E541:P541" si="327">SUM(E542:E544)</f>
        <v>48845</v>
      </c>
      <c r="F541" s="108">
        <f t="shared" si="327"/>
        <v>39372</v>
      </c>
      <c r="G541" s="108">
        <f t="shared" si="327"/>
        <v>16235</v>
      </c>
      <c r="H541" s="108">
        <f t="shared" si="327"/>
        <v>104452</v>
      </c>
      <c r="I541" s="109">
        <f>SUM(I542:I544)</f>
        <v>48227</v>
      </c>
      <c r="J541" s="109">
        <f>SUM(J542:J544)</f>
        <v>35539</v>
      </c>
      <c r="K541" s="109">
        <f>SUM(K542:K544)</f>
        <v>16235</v>
      </c>
      <c r="L541" s="110">
        <f>SUM(L542:L544)</f>
        <v>100001</v>
      </c>
      <c r="M541" s="108">
        <f t="shared" si="327"/>
        <v>618</v>
      </c>
      <c r="N541" s="111">
        <f t="shared" si="327"/>
        <v>3833</v>
      </c>
      <c r="O541" s="108">
        <f t="shared" si="327"/>
        <v>0</v>
      </c>
      <c r="P541" s="112">
        <f t="shared" si="327"/>
        <v>4451</v>
      </c>
      <c r="Q541" s="106"/>
    </row>
    <row r="542" spans="1:17" ht="12.75" customHeight="1">
      <c r="A542" s="113" t="s">
        <v>16</v>
      </c>
      <c r="B542" s="114">
        <v>162895</v>
      </c>
      <c r="C542" s="114">
        <v>-65877</v>
      </c>
      <c r="D542" s="114">
        <f>+B542+C542</f>
        <v>97018</v>
      </c>
      <c r="E542" s="114">
        <v>41411</v>
      </c>
      <c r="F542" s="114">
        <v>39372</v>
      </c>
      <c r="G542" s="114">
        <v>16235</v>
      </c>
      <c r="H542" s="114">
        <f>SUM(E542:G542)</f>
        <v>97018</v>
      </c>
      <c r="I542" s="43">
        <v>41190</v>
      </c>
      <c r="J542" s="43">
        <v>35539</v>
      </c>
      <c r="K542" s="43">
        <v>16235</v>
      </c>
      <c r="L542" s="78">
        <f>SUM(I542:K542)</f>
        <v>92964</v>
      </c>
      <c r="M542" s="114">
        <f t="shared" ref="M542:O544" si="328">+E542-I542</f>
        <v>221</v>
      </c>
      <c r="N542" s="115">
        <f t="shared" si="328"/>
        <v>3833</v>
      </c>
      <c r="O542" s="114">
        <f t="shared" si="328"/>
        <v>0</v>
      </c>
      <c r="P542" s="116">
        <f>SUM(M542:O542)</f>
        <v>4054</v>
      </c>
      <c r="Q542" s="106"/>
    </row>
    <row r="543" spans="1:17" ht="12.75" customHeight="1">
      <c r="A543" s="113" t="s">
        <v>17</v>
      </c>
      <c r="B543" s="114"/>
      <c r="C543" s="114">
        <f>+H543</f>
        <v>3715</v>
      </c>
      <c r="D543" s="114">
        <f>+B543+C543</f>
        <v>3715</v>
      </c>
      <c r="E543" s="114">
        <v>3715</v>
      </c>
      <c r="F543" s="114"/>
      <c r="G543" s="114"/>
      <c r="H543" s="114">
        <f>SUM(E543:G543)</f>
        <v>3715</v>
      </c>
      <c r="I543" s="43">
        <v>3674</v>
      </c>
      <c r="J543" s="43"/>
      <c r="K543" s="43"/>
      <c r="L543" s="78">
        <f>SUM(I543:K543)</f>
        <v>3674</v>
      </c>
      <c r="M543" s="114">
        <f t="shared" si="328"/>
        <v>41</v>
      </c>
      <c r="N543" s="115">
        <f t="shared" si="328"/>
        <v>0</v>
      </c>
      <c r="O543" s="114">
        <f t="shared" si="328"/>
        <v>0</v>
      </c>
      <c r="P543" s="116">
        <f>SUM(M543:O543)</f>
        <v>41</v>
      </c>
      <c r="Q543" s="106"/>
    </row>
    <row r="544" spans="1:17" ht="12.75" customHeight="1">
      <c r="A544" s="113" t="s">
        <v>18</v>
      </c>
      <c r="B544" s="114">
        <v>7916</v>
      </c>
      <c r="C544" s="114"/>
      <c r="D544" s="114">
        <f>+B544+C544</f>
        <v>7916</v>
      </c>
      <c r="E544" s="114">
        <v>3719</v>
      </c>
      <c r="F544" s="114"/>
      <c r="G544" s="114"/>
      <c r="H544" s="114">
        <f>SUM(E544:G544)</f>
        <v>3719</v>
      </c>
      <c r="I544" s="43">
        <v>3363</v>
      </c>
      <c r="J544" s="43"/>
      <c r="K544" s="43"/>
      <c r="L544" s="78">
        <f>SUM(I544:K544)</f>
        <v>3363</v>
      </c>
      <c r="M544" s="114">
        <f t="shared" si="328"/>
        <v>356</v>
      </c>
      <c r="N544" s="115">
        <f t="shared" si="328"/>
        <v>0</v>
      </c>
      <c r="O544" s="114">
        <f t="shared" si="328"/>
        <v>0</v>
      </c>
      <c r="P544" s="116">
        <f>SUM(M544:O544)</f>
        <v>356</v>
      </c>
      <c r="Q544" s="106"/>
    </row>
    <row r="545" spans="1:17" ht="12.75" customHeight="1">
      <c r="A545" s="113" t="s">
        <v>19</v>
      </c>
      <c r="B545" s="102">
        <f>SUM(B546:B547)</f>
        <v>0</v>
      </c>
      <c r="C545" s="102">
        <f>SUM(C546:C547)</f>
        <v>0</v>
      </c>
      <c r="D545" s="102">
        <f>SUM(D546:D547)</f>
        <v>0</v>
      </c>
      <c r="E545" s="102">
        <f t="shared" ref="E545:P545" si="329">SUM(E546:E547)</f>
        <v>0</v>
      </c>
      <c r="F545" s="102">
        <f t="shared" si="329"/>
        <v>0</v>
      </c>
      <c r="G545" s="102">
        <f t="shared" si="329"/>
        <v>3548</v>
      </c>
      <c r="H545" s="102">
        <f t="shared" si="329"/>
        <v>3548</v>
      </c>
      <c r="I545" s="45">
        <f>SUM(I546:I547)</f>
        <v>0</v>
      </c>
      <c r="J545" s="45">
        <f>SUM(J546:J547)</f>
        <v>0</v>
      </c>
      <c r="K545" s="45">
        <f>SUM(K546:K547)</f>
        <v>3548</v>
      </c>
      <c r="L545" s="103">
        <f>SUM(L546:L547)</f>
        <v>3548</v>
      </c>
      <c r="M545" s="102">
        <f t="shared" si="329"/>
        <v>0</v>
      </c>
      <c r="N545" s="104">
        <f t="shared" si="329"/>
        <v>0</v>
      </c>
      <c r="O545" s="102">
        <f t="shared" si="329"/>
        <v>0</v>
      </c>
      <c r="P545" s="105">
        <f t="shared" si="329"/>
        <v>0</v>
      </c>
      <c r="Q545" s="106"/>
    </row>
    <row r="546" spans="1:17" ht="12.75" customHeight="1">
      <c r="A546" s="113" t="s">
        <v>20</v>
      </c>
      <c r="B546" s="114"/>
      <c r="C546" s="114"/>
      <c r="D546" s="114">
        <f>+B546+C546</f>
        <v>0</v>
      </c>
      <c r="E546" s="114"/>
      <c r="F546" s="114"/>
      <c r="G546" s="114">
        <v>3548</v>
      </c>
      <c r="H546" s="114">
        <f>SUM(E546:G546)</f>
        <v>3548</v>
      </c>
      <c r="I546" s="43"/>
      <c r="J546" s="43"/>
      <c r="K546" s="43">
        <v>3548</v>
      </c>
      <c r="L546" s="78">
        <f>SUM(I546:K546)</f>
        <v>3548</v>
      </c>
      <c r="M546" s="114">
        <f t="shared" ref="M546:O547" si="330">+E546-I546</f>
        <v>0</v>
      </c>
      <c r="N546" s="115">
        <f t="shared" si="330"/>
        <v>0</v>
      </c>
      <c r="O546" s="114">
        <f t="shared" si="330"/>
        <v>0</v>
      </c>
      <c r="P546" s="116">
        <f>SUM(M546:O546)</f>
        <v>0</v>
      </c>
      <c r="Q546" s="106"/>
    </row>
    <row r="547" spans="1:17" ht="12.75" customHeight="1">
      <c r="A547" s="113" t="s">
        <v>21</v>
      </c>
      <c r="B547" s="114"/>
      <c r="C547" s="114"/>
      <c r="D547" s="114">
        <f>+B547+C547</f>
        <v>0</v>
      </c>
      <c r="E547" s="114"/>
      <c r="F547" s="114"/>
      <c r="G547" s="114"/>
      <c r="H547" s="114">
        <f>SUM(E547:G547)</f>
        <v>0</v>
      </c>
      <c r="I547" s="43"/>
      <c r="J547" s="43"/>
      <c r="K547" s="43"/>
      <c r="L547" s="78">
        <f>SUM(I547:K547)</f>
        <v>0</v>
      </c>
      <c r="M547" s="114">
        <f t="shared" si="330"/>
        <v>0</v>
      </c>
      <c r="N547" s="115">
        <f t="shared" si="330"/>
        <v>0</v>
      </c>
      <c r="O547" s="114">
        <f t="shared" si="330"/>
        <v>0</v>
      </c>
      <c r="P547" s="116">
        <f>SUM(M547:O547)</f>
        <v>0</v>
      </c>
      <c r="Q547" s="106"/>
    </row>
    <row r="548" spans="1:17" ht="12.75" customHeight="1">
      <c r="A548" s="225"/>
      <c r="B548" s="226"/>
      <c r="C548" s="226"/>
      <c r="D548" s="226"/>
      <c r="E548" s="102"/>
      <c r="F548" s="102"/>
      <c r="G548" s="102"/>
      <c r="H548" s="102"/>
      <c r="I548" s="45"/>
      <c r="J548" s="45"/>
      <c r="K548" s="45"/>
      <c r="L548" s="103"/>
      <c r="M548" s="102"/>
      <c r="N548" s="104"/>
      <c r="O548" s="102"/>
      <c r="P548" s="105"/>
      <c r="Q548" s="227"/>
    </row>
    <row r="549" spans="1:17" ht="12.75" customHeight="1">
      <c r="A549" s="120" t="s">
        <v>281</v>
      </c>
      <c r="B549" s="102">
        <f>+B550+B554</f>
        <v>206560</v>
      </c>
      <c r="C549" s="102">
        <f>+C550+C554</f>
        <v>21891</v>
      </c>
      <c r="D549" s="102">
        <f>+D550+D554</f>
        <v>228451</v>
      </c>
      <c r="E549" s="102">
        <f t="shared" ref="E549:P549" si="331">+E550+E554</f>
        <v>180974</v>
      </c>
      <c r="F549" s="102">
        <f t="shared" si="331"/>
        <v>47682</v>
      </c>
      <c r="G549" s="102">
        <f t="shared" si="331"/>
        <v>21555</v>
      </c>
      <c r="H549" s="102">
        <f t="shared" si="331"/>
        <v>250211</v>
      </c>
      <c r="I549" s="45">
        <f t="shared" si="331"/>
        <v>180973</v>
      </c>
      <c r="J549" s="45">
        <f t="shared" si="331"/>
        <v>38871</v>
      </c>
      <c r="K549" s="45">
        <f t="shared" si="331"/>
        <v>3957</v>
      </c>
      <c r="L549" s="103">
        <f t="shared" si="331"/>
        <v>223801</v>
      </c>
      <c r="M549" s="102">
        <f t="shared" si="331"/>
        <v>1</v>
      </c>
      <c r="N549" s="104">
        <f t="shared" si="331"/>
        <v>8811</v>
      </c>
      <c r="O549" s="102">
        <f t="shared" si="331"/>
        <v>17598</v>
      </c>
      <c r="P549" s="105">
        <f t="shared" si="331"/>
        <v>26410</v>
      </c>
      <c r="Q549" s="106">
        <f>+L549/H549</f>
        <v>0.89444908497228337</v>
      </c>
    </row>
    <row r="550" spans="1:17" ht="12.75" customHeight="1">
      <c r="A550" s="127" t="s">
        <v>15</v>
      </c>
      <c r="B550" s="108">
        <f>SUM(B551:B553)</f>
        <v>206560</v>
      </c>
      <c r="C550" s="108">
        <f>SUM(C551:C553)</f>
        <v>21045</v>
      </c>
      <c r="D550" s="108">
        <f>SUM(D551:D553)</f>
        <v>227605</v>
      </c>
      <c r="E550" s="108">
        <f t="shared" ref="E550:P550" si="332">SUM(E551:E553)</f>
        <v>180974</v>
      </c>
      <c r="F550" s="108">
        <f t="shared" si="332"/>
        <v>47682</v>
      </c>
      <c r="G550" s="108">
        <f t="shared" si="332"/>
        <v>20709</v>
      </c>
      <c r="H550" s="108">
        <f t="shared" si="332"/>
        <v>249365</v>
      </c>
      <c r="I550" s="109">
        <f>SUM(I551:I553)</f>
        <v>180973</v>
      </c>
      <c r="J550" s="109">
        <f>SUM(J551:J553)</f>
        <v>38871</v>
      </c>
      <c r="K550" s="109">
        <f>SUM(K551:K553)</f>
        <v>3957</v>
      </c>
      <c r="L550" s="110">
        <f>SUM(L551:L553)</f>
        <v>223801</v>
      </c>
      <c r="M550" s="108">
        <f t="shared" si="332"/>
        <v>1</v>
      </c>
      <c r="N550" s="111">
        <f t="shared" si="332"/>
        <v>8811</v>
      </c>
      <c r="O550" s="108">
        <f t="shared" si="332"/>
        <v>16752</v>
      </c>
      <c r="P550" s="112">
        <f t="shared" si="332"/>
        <v>25564</v>
      </c>
      <c r="Q550" s="106"/>
    </row>
    <row r="551" spans="1:17" ht="12.75" customHeight="1">
      <c r="A551" s="113" t="s">
        <v>16</v>
      </c>
      <c r="B551" s="114">
        <v>193335</v>
      </c>
      <c r="C551" s="114"/>
      <c r="D551" s="114">
        <f>+B551+C551</f>
        <v>193335</v>
      </c>
      <c r="E551" s="114">
        <v>145653</v>
      </c>
      <c r="F551" s="114">
        <v>47682</v>
      </c>
      <c r="G551" s="114">
        <v>20709</v>
      </c>
      <c r="H551" s="114">
        <f>SUM(E551:G551)</f>
        <v>214044</v>
      </c>
      <c r="I551" s="43">
        <v>145652</v>
      </c>
      <c r="J551" s="43">
        <v>38871</v>
      </c>
      <c r="K551" s="43">
        <v>3957</v>
      </c>
      <c r="L551" s="78">
        <f>SUM(I551:K551)</f>
        <v>188480</v>
      </c>
      <c r="M551" s="114">
        <f t="shared" ref="M551:O553" si="333">+E551-I551</f>
        <v>1</v>
      </c>
      <c r="N551" s="115">
        <f t="shared" si="333"/>
        <v>8811</v>
      </c>
      <c r="O551" s="114">
        <f t="shared" si="333"/>
        <v>16752</v>
      </c>
      <c r="P551" s="116">
        <f>SUM(M551:O551)</f>
        <v>25564</v>
      </c>
      <c r="Q551" s="106"/>
    </row>
    <row r="552" spans="1:17" ht="12.75" customHeight="1">
      <c r="A552" s="113" t="s">
        <v>17</v>
      </c>
      <c r="B552" s="114"/>
      <c r="C552" s="114">
        <f>+H552</f>
        <v>21045</v>
      </c>
      <c r="D552" s="114">
        <f>+B552+C552</f>
        <v>21045</v>
      </c>
      <c r="E552" s="114">
        <v>21045</v>
      </c>
      <c r="F552" s="114"/>
      <c r="G552" s="114"/>
      <c r="H552" s="114">
        <f>SUM(E552:G552)</f>
        <v>21045</v>
      </c>
      <c r="I552" s="43">
        <v>21045</v>
      </c>
      <c r="J552" s="43"/>
      <c r="K552" s="43"/>
      <c r="L552" s="78">
        <f>SUM(I552:K552)</f>
        <v>21045</v>
      </c>
      <c r="M552" s="114">
        <f t="shared" si="333"/>
        <v>0</v>
      </c>
      <c r="N552" s="115">
        <f t="shared" si="333"/>
        <v>0</v>
      </c>
      <c r="O552" s="114">
        <f t="shared" si="333"/>
        <v>0</v>
      </c>
      <c r="P552" s="116">
        <f>SUM(M552:O552)</f>
        <v>0</v>
      </c>
      <c r="Q552" s="106"/>
    </row>
    <row r="553" spans="1:17" ht="12.75" customHeight="1">
      <c r="A553" s="113" t="s">
        <v>18</v>
      </c>
      <c r="B553" s="114">
        <v>13225</v>
      </c>
      <c r="C553" s="114"/>
      <c r="D553" s="114">
        <f>+B553+C553</f>
        <v>13225</v>
      </c>
      <c r="E553" s="114">
        <v>14276</v>
      </c>
      <c r="F553" s="114"/>
      <c r="G553" s="114"/>
      <c r="H553" s="114">
        <f>SUM(E553:G553)</f>
        <v>14276</v>
      </c>
      <c r="I553" s="43">
        <v>14276</v>
      </c>
      <c r="J553" s="43"/>
      <c r="K553" s="43"/>
      <c r="L553" s="78">
        <f>SUM(I553:K553)</f>
        <v>14276</v>
      </c>
      <c r="M553" s="114">
        <f t="shared" si="333"/>
        <v>0</v>
      </c>
      <c r="N553" s="115">
        <f t="shared" si="333"/>
        <v>0</v>
      </c>
      <c r="O553" s="114">
        <f t="shared" si="333"/>
        <v>0</v>
      </c>
      <c r="P553" s="116">
        <f>SUM(M553:O553)</f>
        <v>0</v>
      </c>
      <c r="Q553" s="106"/>
    </row>
    <row r="554" spans="1:17" ht="12.75" customHeight="1">
      <c r="A554" s="113" t="s">
        <v>19</v>
      </c>
      <c r="B554" s="102">
        <f>SUM(B555:B556)</f>
        <v>0</v>
      </c>
      <c r="C554" s="102">
        <f>SUM(C555:C556)</f>
        <v>846</v>
      </c>
      <c r="D554" s="102">
        <f>SUM(D555:D556)</f>
        <v>846</v>
      </c>
      <c r="E554" s="102">
        <f t="shared" ref="E554:P554" si="334">SUM(E555:E556)</f>
        <v>0</v>
      </c>
      <c r="F554" s="102">
        <f t="shared" si="334"/>
        <v>0</v>
      </c>
      <c r="G554" s="102">
        <f t="shared" si="334"/>
        <v>846</v>
      </c>
      <c r="H554" s="102">
        <f t="shared" si="334"/>
        <v>846</v>
      </c>
      <c r="I554" s="45">
        <f>SUM(I555:I556)</f>
        <v>0</v>
      </c>
      <c r="J554" s="45">
        <f>SUM(J555:J556)</f>
        <v>0</v>
      </c>
      <c r="K554" s="45">
        <f>SUM(K555:K556)</f>
        <v>0</v>
      </c>
      <c r="L554" s="103">
        <f>SUM(L555:L556)</f>
        <v>0</v>
      </c>
      <c r="M554" s="102">
        <f t="shared" si="334"/>
        <v>0</v>
      </c>
      <c r="N554" s="104">
        <f t="shared" si="334"/>
        <v>0</v>
      </c>
      <c r="O554" s="102">
        <f t="shared" si="334"/>
        <v>846</v>
      </c>
      <c r="P554" s="105">
        <f t="shared" si="334"/>
        <v>846</v>
      </c>
      <c r="Q554" s="106"/>
    </row>
    <row r="555" spans="1:17" ht="12.75" customHeight="1">
      <c r="A555" s="113" t="s">
        <v>20</v>
      </c>
      <c r="B555" s="114"/>
      <c r="C555" s="114">
        <f>+H555</f>
        <v>846</v>
      </c>
      <c r="D555" s="114">
        <f>+B555+C555</f>
        <v>846</v>
      </c>
      <c r="E555" s="114"/>
      <c r="F555" s="114"/>
      <c r="G555" s="114">
        <v>846</v>
      </c>
      <c r="H555" s="114">
        <f>SUM(E555:G555)</f>
        <v>846</v>
      </c>
      <c r="I555" s="43"/>
      <c r="J555" s="43"/>
      <c r="K555" s="43"/>
      <c r="L555" s="78">
        <f>SUM(I555:K555)</f>
        <v>0</v>
      </c>
      <c r="M555" s="114">
        <f t="shared" ref="M555:O556" si="335">+E555-I555</f>
        <v>0</v>
      </c>
      <c r="N555" s="115">
        <f t="shared" si="335"/>
        <v>0</v>
      </c>
      <c r="O555" s="114">
        <f t="shared" si="335"/>
        <v>846</v>
      </c>
      <c r="P555" s="116">
        <f>SUM(M555:O555)</f>
        <v>846</v>
      </c>
      <c r="Q555" s="106"/>
    </row>
    <row r="556" spans="1:17" ht="12.75" customHeight="1">
      <c r="A556" s="113" t="s">
        <v>21</v>
      </c>
      <c r="B556" s="114"/>
      <c r="C556" s="114">
        <f>+H556</f>
        <v>0</v>
      </c>
      <c r="D556" s="114">
        <f>+B556+C556</f>
        <v>0</v>
      </c>
      <c r="E556" s="114"/>
      <c r="F556" s="114"/>
      <c r="G556" s="114"/>
      <c r="H556" s="114">
        <f>SUM(E556:G556)</f>
        <v>0</v>
      </c>
      <c r="I556" s="43"/>
      <c r="J556" s="43"/>
      <c r="K556" s="43"/>
      <c r="L556" s="78">
        <f>SUM(I556:K556)</f>
        <v>0</v>
      </c>
      <c r="M556" s="114">
        <f t="shared" si="335"/>
        <v>0</v>
      </c>
      <c r="N556" s="115">
        <f t="shared" si="335"/>
        <v>0</v>
      </c>
      <c r="O556" s="114">
        <f t="shared" si="335"/>
        <v>0</v>
      </c>
      <c r="P556" s="116">
        <f>SUM(M556:O556)</f>
        <v>0</v>
      </c>
      <c r="Q556" s="106"/>
    </row>
    <row r="557" spans="1:17" ht="12.75" customHeight="1">
      <c r="A557" s="121"/>
      <c r="B557" s="122"/>
      <c r="C557" s="122"/>
      <c r="D557" s="122"/>
      <c r="E557" s="114"/>
      <c r="F557" s="114"/>
      <c r="G557" s="114"/>
      <c r="H557" s="114"/>
      <c r="I557" s="43"/>
      <c r="J557" s="43"/>
      <c r="K557" s="43"/>
      <c r="L557" s="78"/>
      <c r="M557" s="114"/>
      <c r="N557" s="115"/>
      <c r="O557" s="114"/>
      <c r="P557" s="116"/>
      <c r="Q557" s="106"/>
    </row>
    <row r="558" spans="1:17">
      <c r="A558" s="120" t="s">
        <v>282</v>
      </c>
      <c r="B558" s="102">
        <f>+B559+B563</f>
        <v>270298</v>
      </c>
      <c r="C558" s="102">
        <f>+C559+C563</f>
        <v>34528</v>
      </c>
      <c r="D558" s="102">
        <f>+D559+D563</f>
        <v>304826</v>
      </c>
      <c r="E558" s="102">
        <f t="shared" ref="E558:P558" si="336">+E559+E563</f>
        <v>212919</v>
      </c>
      <c r="F558" s="102">
        <f t="shared" si="336"/>
        <v>92613</v>
      </c>
      <c r="G558" s="102">
        <f t="shared" si="336"/>
        <v>21037</v>
      </c>
      <c r="H558" s="102">
        <f t="shared" si="336"/>
        <v>326569</v>
      </c>
      <c r="I558" s="45">
        <f t="shared" si="336"/>
        <v>212307</v>
      </c>
      <c r="J558" s="45">
        <f t="shared" si="336"/>
        <v>72894</v>
      </c>
      <c r="K558" s="45">
        <f t="shared" si="336"/>
        <v>155</v>
      </c>
      <c r="L558" s="103">
        <f t="shared" si="336"/>
        <v>285356</v>
      </c>
      <c r="M558" s="102">
        <f t="shared" si="336"/>
        <v>612</v>
      </c>
      <c r="N558" s="104">
        <f t="shared" si="336"/>
        <v>19719</v>
      </c>
      <c r="O558" s="102">
        <f t="shared" si="336"/>
        <v>20882</v>
      </c>
      <c r="P558" s="105">
        <f t="shared" si="336"/>
        <v>41213</v>
      </c>
      <c r="Q558" s="106">
        <f>+L558/H558</f>
        <v>0.87380002388469202</v>
      </c>
    </row>
    <row r="559" spans="1:17" ht="12.75" customHeight="1">
      <c r="A559" s="127" t="s">
        <v>15</v>
      </c>
      <c r="B559" s="108">
        <f>SUM(B560:B562)</f>
        <v>270298</v>
      </c>
      <c r="C559" s="108">
        <f>SUM(C560:C562)</f>
        <v>34528</v>
      </c>
      <c r="D559" s="108">
        <f>SUM(D560:D562)</f>
        <v>304826</v>
      </c>
      <c r="E559" s="108">
        <f t="shared" ref="E559:P559" si="337">SUM(E560:E562)</f>
        <v>212919</v>
      </c>
      <c r="F559" s="108">
        <f t="shared" si="337"/>
        <v>92613</v>
      </c>
      <c r="G559" s="108">
        <f t="shared" si="337"/>
        <v>21037</v>
      </c>
      <c r="H559" s="108">
        <f t="shared" si="337"/>
        <v>326569</v>
      </c>
      <c r="I559" s="109">
        <f>SUM(I560:I562)</f>
        <v>212307</v>
      </c>
      <c r="J559" s="109">
        <f>SUM(J560:J562)</f>
        <v>72894</v>
      </c>
      <c r="K559" s="109">
        <f>SUM(K560:K562)</f>
        <v>155</v>
      </c>
      <c r="L559" s="110">
        <f>SUM(L560:L562)</f>
        <v>285356</v>
      </c>
      <c r="M559" s="108">
        <f t="shared" si="337"/>
        <v>612</v>
      </c>
      <c r="N559" s="111">
        <f t="shared" si="337"/>
        <v>19719</v>
      </c>
      <c r="O559" s="108">
        <f t="shared" si="337"/>
        <v>20882</v>
      </c>
      <c r="P559" s="112">
        <f t="shared" si="337"/>
        <v>41213</v>
      </c>
      <c r="Q559" s="106"/>
    </row>
    <row r="560" spans="1:17" ht="12.75" customHeight="1">
      <c r="A560" s="113" t="s">
        <v>16</v>
      </c>
      <c r="B560" s="114">
        <v>255622</v>
      </c>
      <c r="C560" s="114"/>
      <c r="D560" s="114">
        <f>+B560+C560</f>
        <v>255622</v>
      </c>
      <c r="E560" s="114">
        <v>163009</v>
      </c>
      <c r="F560" s="114">
        <v>92613</v>
      </c>
      <c r="G560" s="114">
        <v>21037</v>
      </c>
      <c r="H560" s="114">
        <f>SUM(E560:G560)</f>
        <v>276659</v>
      </c>
      <c r="I560" s="43">
        <v>162707</v>
      </c>
      <c r="J560" s="43">
        <v>72894</v>
      </c>
      <c r="K560" s="43">
        <v>155</v>
      </c>
      <c r="L560" s="78">
        <f>SUM(I560:K560)</f>
        <v>235756</v>
      </c>
      <c r="M560" s="114">
        <f t="shared" ref="M560:O562" si="338">+E560-I560</f>
        <v>302</v>
      </c>
      <c r="N560" s="115">
        <f t="shared" si="338"/>
        <v>19719</v>
      </c>
      <c r="O560" s="114">
        <f t="shared" si="338"/>
        <v>20882</v>
      </c>
      <c r="P560" s="116">
        <f>SUM(M560:O560)</f>
        <v>40903</v>
      </c>
      <c r="Q560" s="106"/>
    </row>
    <row r="561" spans="1:17" ht="12.75" customHeight="1">
      <c r="A561" s="113" t="s">
        <v>17</v>
      </c>
      <c r="B561" s="114"/>
      <c r="C561" s="114">
        <f>+H561</f>
        <v>34528</v>
      </c>
      <c r="D561" s="114">
        <f>+B561+C561</f>
        <v>34528</v>
      </c>
      <c r="E561" s="114">
        <v>34528</v>
      </c>
      <c r="F561" s="114"/>
      <c r="G561" s="114"/>
      <c r="H561" s="114">
        <f>SUM(E561:G561)</f>
        <v>34528</v>
      </c>
      <c r="I561" s="43">
        <v>34528</v>
      </c>
      <c r="J561" s="43"/>
      <c r="K561" s="43"/>
      <c r="L561" s="78">
        <f>SUM(I561:K561)</f>
        <v>34528</v>
      </c>
      <c r="M561" s="114">
        <f t="shared" si="338"/>
        <v>0</v>
      </c>
      <c r="N561" s="115">
        <f t="shared" si="338"/>
        <v>0</v>
      </c>
      <c r="O561" s="114">
        <f t="shared" si="338"/>
        <v>0</v>
      </c>
      <c r="P561" s="116">
        <f>SUM(M561:O561)</f>
        <v>0</v>
      </c>
      <c r="Q561" s="106"/>
    </row>
    <row r="562" spans="1:17" ht="12.75" customHeight="1">
      <c r="A562" s="113" t="s">
        <v>18</v>
      </c>
      <c r="B562" s="114">
        <v>14676</v>
      </c>
      <c r="C562" s="114"/>
      <c r="D562" s="114">
        <f>+B562+C562</f>
        <v>14676</v>
      </c>
      <c r="E562" s="114">
        <v>15382</v>
      </c>
      <c r="F562" s="114"/>
      <c r="G562" s="114"/>
      <c r="H562" s="114">
        <f>SUM(E562:G562)</f>
        <v>15382</v>
      </c>
      <c r="I562" s="43">
        <v>15072</v>
      </c>
      <c r="J562" s="43"/>
      <c r="K562" s="43"/>
      <c r="L562" s="78">
        <f>SUM(I562:K562)</f>
        <v>15072</v>
      </c>
      <c r="M562" s="114">
        <f t="shared" si="338"/>
        <v>310</v>
      </c>
      <c r="N562" s="115">
        <f t="shared" si="338"/>
        <v>0</v>
      </c>
      <c r="O562" s="114">
        <f t="shared" si="338"/>
        <v>0</v>
      </c>
      <c r="P562" s="116">
        <f>SUM(M562:O562)</f>
        <v>310</v>
      </c>
      <c r="Q562" s="106"/>
    </row>
    <row r="563" spans="1:17" ht="12.75" customHeight="1">
      <c r="A563" s="113" t="s">
        <v>19</v>
      </c>
      <c r="B563" s="102">
        <f>SUM(B564:B565)</f>
        <v>0</v>
      </c>
      <c r="C563" s="102">
        <f>SUM(C564:C565)</f>
        <v>0</v>
      </c>
      <c r="D563" s="102">
        <f>SUM(D564:D565)</f>
        <v>0</v>
      </c>
      <c r="E563" s="102">
        <f t="shared" ref="E563:P563" si="339">SUM(E564:E565)</f>
        <v>0</v>
      </c>
      <c r="F563" s="102">
        <f t="shared" si="339"/>
        <v>0</v>
      </c>
      <c r="G563" s="102">
        <f t="shared" si="339"/>
        <v>0</v>
      </c>
      <c r="H563" s="102">
        <f t="shared" si="339"/>
        <v>0</v>
      </c>
      <c r="I563" s="45">
        <f>SUM(I564:I565)</f>
        <v>0</v>
      </c>
      <c r="J563" s="45">
        <f>SUM(J564:J565)</f>
        <v>0</v>
      </c>
      <c r="K563" s="45">
        <f>SUM(K564:K565)</f>
        <v>0</v>
      </c>
      <c r="L563" s="103">
        <f>SUM(L564:L565)</f>
        <v>0</v>
      </c>
      <c r="M563" s="102">
        <f t="shared" si="339"/>
        <v>0</v>
      </c>
      <c r="N563" s="104">
        <f t="shared" si="339"/>
        <v>0</v>
      </c>
      <c r="O563" s="102">
        <f t="shared" si="339"/>
        <v>0</v>
      </c>
      <c r="P563" s="105">
        <f t="shared" si="339"/>
        <v>0</v>
      </c>
      <c r="Q563" s="106"/>
    </row>
    <row r="564" spans="1:17" ht="12.75" customHeight="1">
      <c r="A564" s="113" t="s">
        <v>20</v>
      </c>
      <c r="B564" s="114"/>
      <c r="C564" s="114"/>
      <c r="D564" s="114">
        <f>+B564+C564</f>
        <v>0</v>
      </c>
      <c r="E564" s="114"/>
      <c r="F564" s="114"/>
      <c r="G564" s="114"/>
      <c r="H564" s="114">
        <f>SUM(E564:G564)</f>
        <v>0</v>
      </c>
      <c r="I564" s="43"/>
      <c r="J564" s="43"/>
      <c r="K564" s="43"/>
      <c r="L564" s="78">
        <f>SUM(I564:K564)</f>
        <v>0</v>
      </c>
      <c r="M564" s="114">
        <f t="shared" ref="M564:O565" si="340">+E564-I564</f>
        <v>0</v>
      </c>
      <c r="N564" s="115">
        <f t="shared" si="340"/>
        <v>0</v>
      </c>
      <c r="O564" s="114">
        <f t="shared" si="340"/>
        <v>0</v>
      </c>
      <c r="P564" s="116">
        <f>SUM(M564:O564)</f>
        <v>0</v>
      </c>
      <c r="Q564" s="106"/>
    </row>
    <row r="565" spans="1:17" ht="12.75" customHeight="1">
      <c r="A565" s="113" t="s">
        <v>21</v>
      </c>
      <c r="B565" s="114"/>
      <c r="C565" s="114">
        <f>+H565</f>
        <v>0</v>
      </c>
      <c r="D565" s="114">
        <f>+B565+C565</f>
        <v>0</v>
      </c>
      <c r="E565" s="114"/>
      <c r="F565" s="114"/>
      <c r="G565" s="114"/>
      <c r="H565" s="114">
        <f>SUM(E565:G565)</f>
        <v>0</v>
      </c>
      <c r="I565" s="43"/>
      <c r="J565" s="43"/>
      <c r="K565" s="43"/>
      <c r="L565" s="78">
        <f>SUM(I565:K565)</f>
        <v>0</v>
      </c>
      <c r="M565" s="114">
        <f t="shared" si="340"/>
        <v>0</v>
      </c>
      <c r="N565" s="115">
        <f t="shared" si="340"/>
        <v>0</v>
      </c>
      <c r="O565" s="114">
        <f t="shared" si="340"/>
        <v>0</v>
      </c>
      <c r="P565" s="116">
        <f>SUM(M565:O565)</f>
        <v>0</v>
      </c>
      <c r="Q565" s="106"/>
    </row>
    <row r="566" spans="1:17" ht="12.75" customHeight="1">
      <c r="A566" s="121"/>
      <c r="B566" s="122"/>
      <c r="C566" s="122"/>
      <c r="D566" s="122"/>
      <c r="E566" s="114"/>
      <c r="F566" s="114"/>
      <c r="G566" s="114"/>
      <c r="H566" s="114"/>
      <c r="I566" s="43"/>
      <c r="J566" s="43"/>
      <c r="K566" s="43"/>
      <c r="L566" s="78"/>
      <c r="M566" s="114"/>
      <c r="N566" s="115"/>
      <c r="O566" s="114"/>
      <c r="P566" s="116"/>
      <c r="Q566" s="106"/>
    </row>
    <row r="567" spans="1:17">
      <c r="A567" s="120" t="s">
        <v>283</v>
      </c>
      <c r="B567" s="102">
        <f>+B568+B572</f>
        <v>69582</v>
      </c>
      <c r="C567" s="102">
        <f>+C568+C572</f>
        <v>5951</v>
      </c>
      <c r="D567" s="102">
        <f>+D568+D572</f>
        <v>75533</v>
      </c>
      <c r="E567" s="102">
        <f t="shared" ref="E567:P567" si="341">+E568+E572</f>
        <v>45946</v>
      </c>
      <c r="F567" s="102">
        <f t="shared" si="341"/>
        <v>29613</v>
      </c>
      <c r="G567" s="102">
        <f t="shared" si="341"/>
        <v>7083</v>
      </c>
      <c r="H567" s="102">
        <f t="shared" si="341"/>
        <v>82642</v>
      </c>
      <c r="I567" s="45">
        <f t="shared" si="341"/>
        <v>45939</v>
      </c>
      <c r="J567" s="45">
        <f t="shared" si="341"/>
        <v>23950</v>
      </c>
      <c r="K567" s="45">
        <f t="shared" si="341"/>
        <v>2710</v>
      </c>
      <c r="L567" s="103">
        <f t="shared" si="341"/>
        <v>72599</v>
      </c>
      <c r="M567" s="102">
        <f t="shared" si="341"/>
        <v>7</v>
      </c>
      <c r="N567" s="104">
        <f t="shared" si="341"/>
        <v>5663</v>
      </c>
      <c r="O567" s="102">
        <f t="shared" si="341"/>
        <v>4373</v>
      </c>
      <c r="P567" s="105">
        <f t="shared" si="341"/>
        <v>10043</v>
      </c>
      <c r="Q567" s="106">
        <f>+L567/H567</f>
        <v>0.87847583553156994</v>
      </c>
    </row>
    <row r="568" spans="1:17" ht="12.75" customHeight="1">
      <c r="A568" s="127" t="s">
        <v>15</v>
      </c>
      <c r="B568" s="108">
        <f>SUM(B569:B571)</f>
        <v>69582</v>
      </c>
      <c r="C568" s="108">
        <f>SUM(C569:C571)</f>
        <v>5951</v>
      </c>
      <c r="D568" s="108">
        <f>SUM(D569:D571)</f>
        <v>75533</v>
      </c>
      <c r="E568" s="108">
        <f t="shared" ref="E568:P568" si="342">SUM(E569:E571)</f>
        <v>45946</v>
      </c>
      <c r="F568" s="108">
        <f t="shared" si="342"/>
        <v>29613</v>
      </c>
      <c r="G568" s="108">
        <f t="shared" si="342"/>
        <v>7083</v>
      </c>
      <c r="H568" s="108">
        <f t="shared" si="342"/>
        <v>82642</v>
      </c>
      <c r="I568" s="109">
        <f>SUM(I569:I571)</f>
        <v>45939</v>
      </c>
      <c r="J568" s="109">
        <f>SUM(J569:J571)</f>
        <v>23950</v>
      </c>
      <c r="K568" s="109">
        <f>SUM(K569:K571)</f>
        <v>2710</v>
      </c>
      <c r="L568" s="110">
        <f>SUM(L569:L571)</f>
        <v>72599</v>
      </c>
      <c r="M568" s="108">
        <f t="shared" si="342"/>
        <v>7</v>
      </c>
      <c r="N568" s="111">
        <f t="shared" si="342"/>
        <v>5663</v>
      </c>
      <c r="O568" s="108">
        <f t="shared" si="342"/>
        <v>4373</v>
      </c>
      <c r="P568" s="112">
        <f t="shared" si="342"/>
        <v>10043</v>
      </c>
      <c r="Q568" s="106"/>
    </row>
    <row r="569" spans="1:17" ht="12.75" customHeight="1">
      <c r="A569" s="113" t="s">
        <v>16</v>
      </c>
      <c r="B569" s="114">
        <v>66172</v>
      </c>
      <c r="C569" s="114"/>
      <c r="D569" s="114">
        <f>+B569+C569</f>
        <v>66172</v>
      </c>
      <c r="E569" s="114">
        <v>36559</v>
      </c>
      <c r="F569" s="114">
        <v>29613</v>
      </c>
      <c r="G569" s="114">
        <v>7083</v>
      </c>
      <c r="H569" s="114">
        <f>SUM(E569:G569)</f>
        <v>73255</v>
      </c>
      <c r="I569" s="43">
        <v>36559</v>
      </c>
      <c r="J569" s="43">
        <v>23950</v>
      </c>
      <c r="K569" s="43">
        <v>2710</v>
      </c>
      <c r="L569" s="78">
        <f>SUM(I569:K569)</f>
        <v>63219</v>
      </c>
      <c r="M569" s="114">
        <f t="shared" ref="M569:O571" si="343">+E569-I569</f>
        <v>0</v>
      </c>
      <c r="N569" s="115">
        <f t="shared" si="343"/>
        <v>5663</v>
      </c>
      <c r="O569" s="114">
        <f t="shared" si="343"/>
        <v>4373</v>
      </c>
      <c r="P569" s="116">
        <f>SUM(M569:O569)</f>
        <v>10036</v>
      </c>
      <c r="Q569" s="106"/>
    </row>
    <row r="570" spans="1:17" ht="12.75" customHeight="1">
      <c r="A570" s="113" t="s">
        <v>17</v>
      </c>
      <c r="B570" s="114"/>
      <c r="C570" s="114">
        <f>+H570</f>
        <v>5951</v>
      </c>
      <c r="D570" s="114">
        <f>+B570+C570</f>
        <v>5951</v>
      </c>
      <c r="E570" s="114">
        <v>5951</v>
      </c>
      <c r="F570" s="114"/>
      <c r="G570" s="114"/>
      <c r="H570" s="114">
        <f>SUM(E570:G570)</f>
        <v>5951</v>
      </c>
      <c r="I570" s="43">
        <v>5951</v>
      </c>
      <c r="J570" s="43"/>
      <c r="K570" s="43"/>
      <c r="L570" s="78">
        <f>SUM(I570:K570)</f>
        <v>5951</v>
      </c>
      <c r="M570" s="114">
        <f t="shared" si="343"/>
        <v>0</v>
      </c>
      <c r="N570" s="115">
        <f t="shared" si="343"/>
        <v>0</v>
      </c>
      <c r="O570" s="114">
        <f t="shared" si="343"/>
        <v>0</v>
      </c>
      <c r="P570" s="116">
        <f>SUM(M570:O570)</f>
        <v>0</v>
      </c>
      <c r="Q570" s="106"/>
    </row>
    <row r="571" spans="1:17" ht="12.75" customHeight="1">
      <c r="A571" s="113" t="s">
        <v>18</v>
      </c>
      <c r="B571" s="114">
        <v>3410</v>
      </c>
      <c r="C571" s="114"/>
      <c r="D571" s="114">
        <f>+B571+C571</f>
        <v>3410</v>
      </c>
      <c r="E571" s="114">
        <v>3436</v>
      </c>
      <c r="F571" s="114"/>
      <c r="G571" s="114"/>
      <c r="H571" s="114">
        <f>SUM(E571:G571)</f>
        <v>3436</v>
      </c>
      <c r="I571" s="43">
        <v>3429</v>
      </c>
      <c r="J571" s="43"/>
      <c r="K571" s="43"/>
      <c r="L571" s="78">
        <f>SUM(I571:K571)</f>
        <v>3429</v>
      </c>
      <c r="M571" s="114">
        <f t="shared" si="343"/>
        <v>7</v>
      </c>
      <c r="N571" s="115">
        <f t="shared" si="343"/>
        <v>0</v>
      </c>
      <c r="O571" s="114">
        <f t="shared" si="343"/>
        <v>0</v>
      </c>
      <c r="P571" s="116">
        <f>SUM(M571:O571)</f>
        <v>7</v>
      </c>
      <c r="Q571" s="106"/>
    </row>
    <row r="572" spans="1:17" ht="12.75" customHeight="1">
      <c r="A572" s="113" t="s">
        <v>19</v>
      </c>
      <c r="B572" s="102">
        <f>SUM(B573:B574)</f>
        <v>0</v>
      </c>
      <c r="C572" s="102">
        <f>SUM(C573:C574)</f>
        <v>0</v>
      </c>
      <c r="D572" s="102">
        <f>SUM(D573:D574)</f>
        <v>0</v>
      </c>
      <c r="E572" s="102">
        <f t="shared" ref="E572:P572" si="344">SUM(E573:E574)</f>
        <v>0</v>
      </c>
      <c r="F572" s="102">
        <f t="shared" si="344"/>
        <v>0</v>
      </c>
      <c r="G572" s="102">
        <f t="shared" si="344"/>
        <v>0</v>
      </c>
      <c r="H572" s="102">
        <f t="shared" si="344"/>
        <v>0</v>
      </c>
      <c r="I572" s="45">
        <f t="shared" si="344"/>
        <v>0</v>
      </c>
      <c r="J572" s="45">
        <f t="shared" si="344"/>
        <v>0</v>
      </c>
      <c r="K572" s="45">
        <f t="shared" si="344"/>
        <v>0</v>
      </c>
      <c r="L572" s="103">
        <f t="shared" si="344"/>
        <v>0</v>
      </c>
      <c r="M572" s="102">
        <f t="shared" si="344"/>
        <v>0</v>
      </c>
      <c r="N572" s="104">
        <f t="shared" si="344"/>
        <v>0</v>
      </c>
      <c r="O572" s="102">
        <f t="shared" si="344"/>
        <v>0</v>
      </c>
      <c r="P572" s="105">
        <f t="shared" si="344"/>
        <v>0</v>
      </c>
      <c r="Q572" s="106"/>
    </row>
    <row r="573" spans="1:17" ht="12.75" customHeight="1">
      <c r="A573" s="113" t="s">
        <v>20</v>
      </c>
      <c r="B573" s="114"/>
      <c r="C573" s="114"/>
      <c r="D573" s="114">
        <f>+B573+C573</f>
        <v>0</v>
      </c>
      <c r="E573" s="114"/>
      <c r="F573" s="114"/>
      <c r="G573" s="114"/>
      <c r="H573" s="114">
        <f>SUM(E573:G573)</f>
        <v>0</v>
      </c>
      <c r="I573" s="43"/>
      <c r="J573" s="43"/>
      <c r="K573" s="43"/>
      <c r="L573" s="78">
        <f>SUM(I573:K573)</f>
        <v>0</v>
      </c>
      <c r="M573" s="114">
        <f t="shared" ref="M573:O574" si="345">+E573-I573</f>
        <v>0</v>
      </c>
      <c r="N573" s="115">
        <f t="shared" si="345"/>
        <v>0</v>
      </c>
      <c r="O573" s="114">
        <f t="shared" si="345"/>
        <v>0</v>
      </c>
      <c r="P573" s="116">
        <f>SUM(M573:O573)</f>
        <v>0</v>
      </c>
      <c r="Q573" s="106"/>
    </row>
    <row r="574" spans="1:17" ht="12.75" customHeight="1">
      <c r="A574" s="113" t="s">
        <v>21</v>
      </c>
      <c r="B574" s="114"/>
      <c r="C574" s="114"/>
      <c r="D574" s="114">
        <f>+B574+C574</f>
        <v>0</v>
      </c>
      <c r="E574" s="114"/>
      <c r="F574" s="114"/>
      <c r="G574" s="114"/>
      <c r="H574" s="114">
        <f>SUM(E574:G574)</f>
        <v>0</v>
      </c>
      <c r="I574" s="43"/>
      <c r="J574" s="43"/>
      <c r="K574" s="43"/>
      <c r="L574" s="78">
        <f>SUM(I574:K574)</f>
        <v>0</v>
      </c>
      <c r="M574" s="114">
        <f t="shared" si="345"/>
        <v>0</v>
      </c>
      <c r="N574" s="115">
        <f t="shared" si="345"/>
        <v>0</v>
      </c>
      <c r="O574" s="114">
        <f t="shared" si="345"/>
        <v>0</v>
      </c>
      <c r="P574" s="116">
        <f>SUM(M574:O574)</f>
        <v>0</v>
      </c>
      <c r="Q574" s="106"/>
    </row>
    <row r="575" spans="1:17" ht="12.75" customHeight="1">
      <c r="A575" s="121"/>
      <c r="B575" s="122"/>
      <c r="C575" s="122"/>
      <c r="D575" s="122"/>
      <c r="E575" s="114"/>
      <c r="F575" s="114"/>
      <c r="G575" s="114"/>
      <c r="H575" s="114"/>
      <c r="I575" s="43"/>
      <c r="J575" s="43"/>
      <c r="K575" s="43"/>
      <c r="L575" s="78"/>
      <c r="M575" s="114"/>
      <c r="N575" s="115"/>
      <c r="O575" s="114"/>
      <c r="P575" s="116"/>
      <c r="Q575" s="106"/>
    </row>
    <row r="576" spans="1:17" ht="12.75" customHeight="1">
      <c r="A576" s="120" t="s">
        <v>284</v>
      </c>
      <c r="B576" s="102">
        <f>+B577+B581</f>
        <v>166161</v>
      </c>
      <c r="C576" s="102">
        <f>+C577+C581</f>
        <v>25693</v>
      </c>
      <c r="D576" s="102">
        <f>+D577+D581</f>
        <v>191854</v>
      </c>
      <c r="E576" s="102">
        <f t="shared" ref="E576:P576" si="346">+E577+E581</f>
        <v>130278</v>
      </c>
      <c r="F576" s="102">
        <f t="shared" si="346"/>
        <v>49908</v>
      </c>
      <c r="G576" s="102">
        <f t="shared" si="346"/>
        <v>12116</v>
      </c>
      <c r="H576" s="102">
        <f t="shared" si="346"/>
        <v>192302</v>
      </c>
      <c r="I576" s="45">
        <f t="shared" si="346"/>
        <v>128561</v>
      </c>
      <c r="J576" s="45">
        <f t="shared" si="346"/>
        <v>35616</v>
      </c>
      <c r="K576" s="45">
        <f t="shared" si="346"/>
        <v>9386</v>
      </c>
      <c r="L576" s="103">
        <f t="shared" si="346"/>
        <v>173563</v>
      </c>
      <c r="M576" s="102">
        <f t="shared" si="346"/>
        <v>1717</v>
      </c>
      <c r="N576" s="104">
        <f t="shared" si="346"/>
        <v>14292</v>
      </c>
      <c r="O576" s="102">
        <f t="shared" si="346"/>
        <v>2730</v>
      </c>
      <c r="P576" s="105">
        <f t="shared" si="346"/>
        <v>18739</v>
      </c>
      <c r="Q576" s="106">
        <f>+L576/H576</f>
        <v>0.90255431560774202</v>
      </c>
    </row>
    <row r="577" spans="1:17" ht="12.75" customHeight="1">
      <c r="A577" s="127" t="s">
        <v>15</v>
      </c>
      <c r="B577" s="108">
        <f>SUM(B578:B580)</f>
        <v>166161</v>
      </c>
      <c r="C577" s="108">
        <f>SUM(C578:C580)</f>
        <v>24500</v>
      </c>
      <c r="D577" s="108">
        <f>SUM(D578:D580)</f>
        <v>190661</v>
      </c>
      <c r="E577" s="108">
        <f t="shared" ref="E577:P577" si="347">SUM(E578:E580)</f>
        <v>130278</v>
      </c>
      <c r="F577" s="108">
        <f t="shared" si="347"/>
        <v>48715</v>
      </c>
      <c r="G577" s="108">
        <f t="shared" si="347"/>
        <v>12116</v>
      </c>
      <c r="H577" s="108">
        <f t="shared" si="347"/>
        <v>191109</v>
      </c>
      <c r="I577" s="109">
        <f t="shared" si="347"/>
        <v>128561</v>
      </c>
      <c r="J577" s="109">
        <f t="shared" si="347"/>
        <v>34427</v>
      </c>
      <c r="K577" s="109">
        <f t="shared" si="347"/>
        <v>9386</v>
      </c>
      <c r="L577" s="110">
        <f t="shared" si="347"/>
        <v>172374</v>
      </c>
      <c r="M577" s="108">
        <f t="shared" si="347"/>
        <v>1717</v>
      </c>
      <c r="N577" s="111">
        <f t="shared" si="347"/>
        <v>14288</v>
      </c>
      <c r="O577" s="108">
        <f t="shared" si="347"/>
        <v>2730</v>
      </c>
      <c r="P577" s="112">
        <f t="shared" si="347"/>
        <v>18735</v>
      </c>
      <c r="Q577" s="106"/>
    </row>
    <row r="578" spans="1:17" ht="12.75" customHeight="1">
      <c r="A578" s="113" t="s">
        <v>16</v>
      </c>
      <c r="B578" s="114">
        <v>156364</v>
      </c>
      <c r="C578" s="114">
        <v>12116</v>
      </c>
      <c r="D578" s="114">
        <f>+B578+C578</f>
        <v>168480</v>
      </c>
      <c r="E578" s="114">
        <v>107649</v>
      </c>
      <c r="F578" s="114">
        <v>48715</v>
      </c>
      <c r="G578" s="114">
        <v>12116</v>
      </c>
      <c r="H578" s="114">
        <f>SUM(E578:G578)</f>
        <v>168480</v>
      </c>
      <c r="I578" s="43">
        <v>106669</v>
      </c>
      <c r="J578" s="43">
        <v>34427</v>
      </c>
      <c r="K578" s="43">
        <v>9386</v>
      </c>
      <c r="L578" s="78">
        <f>SUM(I578:K578)</f>
        <v>150482</v>
      </c>
      <c r="M578" s="114">
        <f t="shared" ref="M578:O580" si="348">+E578-I578</f>
        <v>980</v>
      </c>
      <c r="N578" s="115">
        <f t="shared" si="348"/>
        <v>14288</v>
      </c>
      <c r="O578" s="114">
        <f t="shared" si="348"/>
        <v>2730</v>
      </c>
      <c r="P578" s="116">
        <f>SUM(M578:O578)</f>
        <v>17998</v>
      </c>
      <c r="Q578" s="106"/>
    </row>
    <row r="579" spans="1:17" ht="12.75" customHeight="1">
      <c r="A579" s="113" t="s">
        <v>17</v>
      </c>
      <c r="B579" s="114"/>
      <c r="C579" s="114">
        <f>+H579</f>
        <v>12384</v>
      </c>
      <c r="D579" s="114">
        <f>+B579+C579</f>
        <v>12384</v>
      </c>
      <c r="E579" s="114">
        <v>12384</v>
      </c>
      <c r="F579" s="114"/>
      <c r="G579" s="114"/>
      <c r="H579" s="114">
        <f>SUM(E579:G579)</f>
        <v>12384</v>
      </c>
      <c r="I579" s="43">
        <v>12314</v>
      </c>
      <c r="J579" s="43"/>
      <c r="K579" s="43"/>
      <c r="L579" s="78">
        <f>SUM(I579:K579)</f>
        <v>12314</v>
      </c>
      <c r="M579" s="114">
        <f t="shared" si="348"/>
        <v>70</v>
      </c>
      <c r="N579" s="115">
        <f t="shared" si="348"/>
        <v>0</v>
      </c>
      <c r="O579" s="114">
        <f t="shared" si="348"/>
        <v>0</v>
      </c>
      <c r="P579" s="116">
        <f>SUM(M579:O579)</f>
        <v>70</v>
      </c>
      <c r="Q579" s="106"/>
    </row>
    <row r="580" spans="1:17" ht="12.75" customHeight="1">
      <c r="A580" s="113" t="s">
        <v>18</v>
      </c>
      <c r="B580" s="114">
        <v>9797</v>
      </c>
      <c r="C580" s="114"/>
      <c r="D580" s="114">
        <f>+B580+C580</f>
        <v>9797</v>
      </c>
      <c r="E580" s="114">
        <v>10245</v>
      </c>
      <c r="F580" s="114"/>
      <c r="G580" s="114"/>
      <c r="H580" s="114">
        <f>SUM(E580:G580)</f>
        <v>10245</v>
      </c>
      <c r="I580" s="43">
        <v>9578</v>
      </c>
      <c r="J580" s="43"/>
      <c r="K580" s="43"/>
      <c r="L580" s="78">
        <f>SUM(I580:K580)</f>
        <v>9578</v>
      </c>
      <c r="M580" s="114">
        <f t="shared" si="348"/>
        <v>667</v>
      </c>
      <c r="N580" s="115">
        <f t="shared" si="348"/>
        <v>0</v>
      </c>
      <c r="O580" s="114">
        <f t="shared" si="348"/>
        <v>0</v>
      </c>
      <c r="P580" s="116">
        <f>SUM(M580:O580)</f>
        <v>667</v>
      </c>
      <c r="Q580" s="106"/>
    </row>
    <row r="581" spans="1:17" ht="12.75" customHeight="1">
      <c r="A581" s="113" t="s">
        <v>19</v>
      </c>
      <c r="B581" s="102">
        <f>SUM(B582:B583)</f>
        <v>0</v>
      </c>
      <c r="C581" s="102">
        <f>SUM(C582:C583)</f>
        <v>1193</v>
      </c>
      <c r="D581" s="102">
        <f>SUM(D582:D583)</f>
        <v>1193</v>
      </c>
      <c r="E581" s="102">
        <f t="shared" ref="E581:P581" si="349">SUM(E582:E583)</f>
        <v>0</v>
      </c>
      <c r="F581" s="102">
        <f t="shared" si="349"/>
        <v>1193</v>
      </c>
      <c r="G581" s="102">
        <f t="shared" si="349"/>
        <v>0</v>
      </c>
      <c r="H581" s="102">
        <f t="shared" si="349"/>
        <v>1193</v>
      </c>
      <c r="I581" s="45">
        <f t="shared" si="349"/>
        <v>0</v>
      </c>
      <c r="J581" s="45">
        <f t="shared" si="349"/>
        <v>1189</v>
      </c>
      <c r="K581" s="45">
        <f t="shared" si="349"/>
        <v>0</v>
      </c>
      <c r="L581" s="103">
        <f t="shared" si="349"/>
        <v>1189</v>
      </c>
      <c r="M581" s="102">
        <f t="shared" si="349"/>
        <v>0</v>
      </c>
      <c r="N581" s="104">
        <f t="shared" si="349"/>
        <v>4</v>
      </c>
      <c r="O581" s="102">
        <f t="shared" si="349"/>
        <v>0</v>
      </c>
      <c r="P581" s="105">
        <f t="shared" si="349"/>
        <v>4</v>
      </c>
      <c r="Q581" s="106"/>
    </row>
    <row r="582" spans="1:17" ht="12.75" customHeight="1">
      <c r="A582" s="113" t="s">
        <v>20</v>
      </c>
      <c r="B582" s="114"/>
      <c r="C582" s="114">
        <f>+H582</f>
        <v>1193</v>
      </c>
      <c r="D582" s="114">
        <f>+B582+C582</f>
        <v>1193</v>
      </c>
      <c r="E582" s="114"/>
      <c r="F582" s="114">
        <v>1193</v>
      </c>
      <c r="G582" s="114"/>
      <c r="H582" s="114">
        <f>SUM(E582:G582)</f>
        <v>1193</v>
      </c>
      <c r="I582" s="43"/>
      <c r="J582" s="43">
        <v>1189</v>
      </c>
      <c r="K582" s="43"/>
      <c r="L582" s="78">
        <f>SUM(I582:K582)</f>
        <v>1189</v>
      </c>
      <c r="M582" s="114">
        <f t="shared" ref="M582:O583" si="350">+E582-I582</f>
        <v>0</v>
      </c>
      <c r="N582" s="115">
        <f t="shared" si="350"/>
        <v>4</v>
      </c>
      <c r="O582" s="114">
        <f t="shared" si="350"/>
        <v>0</v>
      </c>
      <c r="P582" s="116">
        <f>SUM(M582:O582)</f>
        <v>4</v>
      </c>
      <c r="Q582" s="106"/>
    </row>
    <row r="583" spans="1:17" ht="12.75" customHeight="1">
      <c r="A583" s="113" t="s">
        <v>21</v>
      </c>
      <c r="B583" s="114"/>
      <c r="C583" s="114"/>
      <c r="D583" s="114">
        <f>+B583+C583</f>
        <v>0</v>
      </c>
      <c r="E583" s="114"/>
      <c r="F583" s="114"/>
      <c r="G583" s="114"/>
      <c r="H583" s="114">
        <f>SUM(E583:G583)</f>
        <v>0</v>
      </c>
      <c r="I583" s="43"/>
      <c r="J583" s="43"/>
      <c r="K583" s="43"/>
      <c r="L583" s="78">
        <f>SUM(I583:K583)</f>
        <v>0</v>
      </c>
      <c r="M583" s="114">
        <f t="shared" si="350"/>
        <v>0</v>
      </c>
      <c r="N583" s="115">
        <f t="shared" si="350"/>
        <v>0</v>
      </c>
      <c r="O583" s="114">
        <f t="shared" si="350"/>
        <v>0</v>
      </c>
      <c r="P583" s="116">
        <f>SUM(M583:O583)</f>
        <v>0</v>
      </c>
      <c r="Q583" s="106"/>
    </row>
    <row r="584" spans="1:17" ht="12.75" customHeight="1">
      <c r="A584" s="121"/>
      <c r="B584" s="122"/>
      <c r="C584" s="122"/>
      <c r="D584" s="122"/>
      <c r="E584" s="114"/>
      <c r="F584" s="114"/>
      <c r="G584" s="114"/>
      <c r="H584" s="114"/>
      <c r="I584" s="43"/>
      <c r="J584" s="43"/>
      <c r="K584" s="43"/>
      <c r="L584" s="78"/>
      <c r="M584" s="114"/>
      <c r="N584" s="115"/>
      <c r="O584" s="114"/>
      <c r="P584" s="116"/>
      <c r="Q584" s="106"/>
    </row>
    <row r="585" spans="1:17" ht="12.75" customHeight="1">
      <c r="A585" s="135" t="s">
        <v>285</v>
      </c>
      <c r="B585" s="102">
        <f>+B586+B590</f>
        <v>175622</v>
      </c>
      <c r="C585" s="102">
        <f>+C586+C590</f>
        <v>8800</v>
      </c>
      <c r="D585" s="102">
        <f>+D586+D590</f>
        <v>184422</v>
      </c>
      <c r="E585" s="102">
        <f t="shared" ref="E585:P585" si="351">+E586+E590</f>
        <v>121383</v>
      </c>
      <c r="F585" s="102">
        <f t="shared" si="351"/>
        <v>62078</v>
      </c>
      <c r="G585" s="102">
        <f t="shared" si="351"/>
        <v>16594</v>
      </c>
      <c r="H585" s="102">
        <f t="shared" si="351"/>
        <v>200055</v>
      </c>
      <c r="I585" s="45">
        <f t="shared" si="351"/>
        <v>117590</v>
      </c>
      <c r="J585" s="45">
        <f t="shared" si="351"/>
        <v>45155</v>
      </c>
      <c r="K585" s="45">
        <f t="shared" si="351"/>
        <v>0</v>
      </c>
      <c r="L585" s="103">
        <f t="shared" si="351"/>
        <v>162745</v>
      </c>
      <c r="M585" s="102">
        <f t="shared" si="351"/>
        <v>3793</v>
      </c>
      <c r="N585" s="104">
        <f t="shared" si="351"/>
        <v>16923</v>
      </c>
      <c r="O585" s="102">
        <f t="shared" si="351"/>
        <v>16594</v>
      </c>
      <c r="P585" s="105">
        <f t="shared" si="351"/>
        <v>37310</v>
      </c>
      <c r="Q585" s="106">
        <f>+L585/H585</f>
        <v>0.81350128714603487</v>
      </c>
    </row>
    <row r="586" spans="1:17" ht="12.75" customHeight="1">
      <c r="A586" s="127" t="s">
        <v>15</v>
      </c>
      <c r="B586" s="108">
        <f>SUM(B587:B589)</f>
        <v>175622</v>
      </c>
      <c r="C586" s="108">
        <f>SUM(C587:C589)</f>
        <v>8800</v>
      </c>
      <c r="D586" s="108">
        <f>SUM(D587:D589)</f>
        <v>184422</v>
      </c>
      <c r="E586" s="108">
        <f t="shared" ref="E586:P586" si="352">SUM(E587:E589)</f>
        <v>121383</v>
      </c>
      <c r="F586" s="108">
        <f t="shared" si="352"/>
        <v>62078</v>
      </c>
      <c r="G586" s="108">
        <f t="shared" si="352"/>
        <v>16594</v>
      </c>
      <c r="H586" s="108">
        <f t="shared" si="352"/>
        <v>200055</v>
      </c>
      <c r="I586" s="109">
        <f t="shared" si="352"/>
        <v>117590</v>
      </c>
      <c r="J586" s="109">
        <f t="shared" si="352"/>
        <v>45155</v>
      </c>
      <c r="K586" s="109">
        <f t="shared" si="352"/>
        <v>0</v>
      </c>
      <c r="L586" s="110">
        <f t="shared" si="352"/>
        <v>162745</v>
      </c>
      <c r="M586" s="108">
        <f t="shared" si="352"/>
        <v>3793</v>
      </c>
      <c r="N586" s="111">
        <f t="shared" si="352"/>
        <v>16923</v>
      </c>
      <c r="O586" s="108">
        <f t="shared" si="352"/>
        <v>16594</v>
      </c>
      <c r="P586" s="112">
        <f t="shared" si="352"/>
        <v>37310</v>
      </c>
      <c r="Q586" s="106"/>
    </row>
    <row r="587" spans="1:17" ht="12.75" customHeight="1">
      <c r="A587" s="113" t="s">
        <v>16</v>
      </c>
      <c r="B587" s="114">
        <v>166473</v>
      </c>
      <c r="C587" s="114"/>
      <c r="D587" s="114">
        <f>+B587+C587</f>
        <v>166473</v>
      </c>
      <c r="E587" s="114">
        <v>103322</v>
      </c>
      <c r="F587" s="114">
        <v>62078</v>
      </c>
      <c r="G587" s="114">
        <v>16594</v>
      </c>
      <c r="H587" s="114">
        <f>SUM(E587:G587)</f>
        <v>181994</v>
      </c>
      <c r="I587" s="43">
        <v>99893</v>
      </c>
      <c r="J587" s="43">
        <v>45155</v>
      </c>
      <c r="K587" s="43"/>
      <c r="L587" s="78">
        <f>SUM(I587:K587)</f>
        <v>145048</v>
      </c>
      <c r="M587" s="114">
        <f t="shared" ref="M587:O589" si="353">+E587-I587</f>
        <v>3429</v>
      </c>
      <c r="N587" s="115">
        <f t="shared" si="353"/>
        <v>16923</v>
      </c>
      <c r="O587" s="114">
        <f t="shared" si="353"/>
        <v>16594</v>
      </c>
      <c r="P587" s="116">
        <f>SUM(M587:O587)</f>
        <v>36946</v>
      </c>
      <c r="Q587" s="106"/>
    </row>
    <row r="588" spans="1:17" ht="12.75" customHeight="1">
      <c r="A588" s="113" t="s">
        <v>17</v>
      </c>
      <c r="B588" s="114"/>
      <c r="C588" s="114">
        <f>+H588</f>
        <v>8800</v>
      </c>
      <c r="D588" s="114">
        <f>+B588+C588</f>
        <v>8800</v>
      </c>
      <c r="E588" s="114">
        <v>8800</v>
      </c>
      <c r="F588" s="114"/>
      <c r="G588" s="114"/>
      <c r="H588" s="114">
        <f>SUM(E588:G588)</f>
        <v>8800</v>
      </c>
      <c r="I588" s="43">
        <v>8796</v>
      </c>
      <c r="J588" s="43"/>
      <c r="K588" s="43"/>
      <c r="L588" s="78">
        <f>SUM(I588:K588)</f>
        <v>8796</v>
      </c>
      <c r="M588" s="114">
        <f t="shared" si="353"/>
        <v>4</v>
      </c>
      <c r="N588" s="115">
        <f t="shared" si="353"/>
        <v>0</v>
      </c>
      <c r="O588" s="114">
        <f t="shared" si="353"/>
        <v>0</v>
      </c>
      <c r="P588" s="116">
        <f>SUM(M588:O588)</f>
        <v>4</v>
      </c>
      <c r="Q588" s="106"/>
    </row>
    <row r="589" spans="1:17" ht="12.75" customHeight="1">
      <c r="A589" s="113" t="s">
        <v>18</v>
      </c>
      <c r="B589" s="114">
        <v>9149</v>
      </c>
      <c r="C589" s="114"/>
      <c r="D589" s="114">
        <f>+B589+C589</f>
        <v>9149</v>
      </c>
      <c r="E589" s="114">
        <v>9261</v>
      </c>
      <c r="F589" s="114"/>
      <c r="G589" s="114"/>
      <c r="H589" s="114">
        <f>SUM(E589:G589)</f>
        <v>9261</v>
      </c>
      <c r="I589" s="43">
        <v>8901</v>
      </c>
      <c r="J589" s="43"/>
      <c r="K589" s="43"/>
      <c r="L589" s="78">
        <f>SUM(I589:K589)</f>
        <v>8901</v>
      </c>
      <c r="M589" s="114">
        <f t="shared" si="353"/>
        <v>360</v>
      </c>
      <c r="N589" s="115">
        <f t="shared" si="353"/>
        <v>0</v>
      </c>
      <c r="O589" s="114">
        <f t="shared" si="353"/>
        <v>0</v>
      </c>
      <c r="P589" s="116">
        <f>SUM(M589:O589)</f>
        <v>360</v>
      </c>
      <c r="Q589" s="106"/>
    </row>
    <row r="590" spans="1:17" ht="12.75" customHeight="1">
      <c r="A590" s="113" t="s">
        <v>19</v>
      </c>
      <c r="B590" s="102">
        <f>SUM(B591:B592)</f>
        <v>0</v>
      </c>
      <c r="C590" s="102">
        <f>SUM(C591:C592)</f>
        <v>0</v>
      </c>
      <c r="D590" s="102">
        <f>SUM(D591:D592)</f>
        <v>0</v>
      </c>
      <c r="E590" s="102">
        <f t="shared" ref="E590:P590" si="354">SUM(E591:E592)</f>
        <v>0</v>
      </c>
      <c r="F590" s="102">
        <f t="shared" si="354"/>
        <v>0</v>
      </c>
      <c r="G590" s="102">
        <f t="shared" si="354"/>
        <v>0</v>
      </c>
      <c r="H590" s="102">
        <f t="shared" si="354"/>
        <v>0</v>
      </c>
      <c r="I590" s="45">
        <f t="shared" si="354"/>
        <v>0</v>
      </c>
      <c r="J590" s="45">
        <f t="shared" si="354"/>
        <v>0</v>
      </c>
      <c r="K590" s="45">
        <f t="shared" si="354"/>
        <v>0</v>
      </c>
      <c r="L590" s="103">
        <f t="shared" si="354"/>
        <v>0</v>
      </c>
      <c r="M590" s="102">
        <f t="shared" si="354"/>
        <v>0</v>
      </c>
      <c r="N590" s="104">
        <f t="shared" si="354"/>
        <v>0</v>
      </c>
      <c r="O590" s="102">
        <f t="shared" si="354"/>
        <v>0</v>
      </c>
      <c r="P590" s="105">
        <f t="shared" si="354"/>
        <v>0</v>
      </c>
      <c r="Q590" s="106"/>
    </row>
    <row r="591" spans="1:17" ht="12.75" customHeight="1">
      <c r="A591" s="113" t="s">
        <v>20</v>
      </c>
      <c r="B591" s="114"/>
      <c r="C591" s="114"/>
      <c r="D591" s="114">
        <f>+B591+C591</f>
        <v>0</v>
      </c>
      <c r="E591" s="114"/>
      <c r="F591" s="114"/>
      <c r="G591" s="114"/>
      <c r="H591" s="114">
        <f>SUM(E591:G591)</f>
        <v>0</v>
      </c>
      <c r="I591" s="43"/>
      <c r="J591" s="43"/>
      <c r="K591" s="43"/>
      <c r="L591" s="78">
        <f>SUM(I591:K591)</f>
        <v>0</v>
      </c>
      <c r="M591" s="114">
        <f t="shared" ref="M591:O592" si="355">+E591-I591</f>
        <v>0</v>
      </c>
      <c r="N591" s="115">
        <f t="shared" si="355"/>
        <v>0</v>
      </c>
      <c r="O591" s="114">
        <f t="shared" si="355"/>
        <v>0</v>
      </c>
      <c r="P591" s="116">
        <f>SUM(M591:O591)</f>
        <v>0</v>
      </c>
      <c r="Q591" s="106"/>
    </row>
    <row r="592" spans="1:17" ht="12.75" customHeight="1">
      <c r="A592" s="113" t="s">
        <v>21</v>
      </c>
      <c r="B592" s="114"/>
      <c r="C592" s="114">
        <f>+H592</f>
        <v>0</v>
      </c>
      <c r="D592" s="114">
        <f>+B592+C592</f>
        <v>0</v>
      </c>
      <c r="E592" s="114"/>
      <c r="F592" s="114"/>
      <c r="G592" s="114"/>
      <c r="H592" s="114">
        <f>SUM(E592:G592)</f>
        <v>0</v>
      </c>
      <c r="I592" s="43"/>
      <c r="J592" s="43"/>
      <c r="K592" s="43"/>
      <c r="L592" s="78">
        <f>SUM(I592:K592)</f>
        <v>0</v>
      </c>
      <c r="M592" s="114">
        <f t="shared" si="355"/>
        <v>0</v>
      </c>
      <c r="N592" s="115">
        <f t="shared" si="355"/>
        <v>0</v>
      </c>
      <c r="O592" s="114">
        <f t="shared" si="355"/>
        <v>0</v>
      </c>
      <c r="P592" s="116">
        <f>SUM(M592:O592)</f>
        <v>0</v>
      </c>
      <c r="Q592" s="106"/>
    </row>
    <row r="593" spans="1:17" ht="12.75" customHeight="1">
      <c r="A593" s="225"/>
      <c r="B593" s="226"/>
      <c r="C593" s="226"/>
      <c r="D593" s="226"/>
      <c r="E593" s="102"/>
      <c r="F593" s="102"/>
      <c r="G593" s="102"/>
      <c r="H593" s="102"/>
      <c r="I593" s="74"/>
      <c r="J593" s="74"/>
      <c r="K593" s="74"/>
      <c r="L593" s="138"/>
      <c r="M593" s="102"/>
      <c r="N593" s="104"/>
      <c r="O593" s="102"/>
      <c r="P593" s="105"/>
      <c r="Q593" s="227"/>
    </row>
    <row r="594" spans="1:17" ht="12.75" customHeight="1">
      <c r="A594" s="149" t="s">
        <v>286</v>
      </c>
      <c r="B594" s="102">
        <f>+B595+B599</f>
        <v>2307515</v>
      </c>
      <c r="C594" s="102">
        <f>+C595+C599</f>
        <v>455514</v>
      </c>
      <c r="D594" s="102">
        <f>+D595+D599</f>
        <v>2763029</v>
      </c>
      <c r="E594" s="102">
        <f t="shared" ref="E594:P594" si="356">+E595+E599</f>
        <v>1975665</v>
      </c>
      <c r="F594" s="102">
        <f t="shared" si="356"/>
        <v>556163</v>
      </c>
      <c r="G594" s="102">
        <f t="shared" si="356"/>
        <v>360571</v>
      </c>
      <c r="H594" s="102">
        <f t="shared" si="356"/>
        <v>2892399</v>
      </c>
      <c r="I594" s="139">
        <f>+I595+I599</f>
        <v>1939873</v>
      </c>
      <c r="J594" s="139">
        <f>+J595+J599</f>
        <v>483824</v>
      </c>
      <c r="K594" s="139">
        <f>+K595+K599</f>
        <v>25190</v>
      </c>
      <c r="L594" s="139">
        <f>+L595+L599</f>
        <v>2448887</v>
      </c>
      <c r="M594" s="102">
        <f t="shared" si="356"/>
        <v>35792</v>
      </c>
      <c r="N594" s="104">
        <f t="shared" si="356"/>
        <v>72339</v>
      </c>
      <c r="O594" s="102">
        <f t="shared" si="356"/>
        <v>335381</v>
      </c>
      <c r="P594" s="105">
        <f t="shared" si="356"/>
        <v>443512</v>
      </c>
      <c r="Q594" s="106">
        <f>+L594/H594</f>
        <v>0.84666292582731495</v>
      </c>
    </row>
    <row r="595" spans="1:17" ht="12.75" customHeight="1">
      <c r="A595" s="127" t="s">
        <v>15</v>
      </c>
      <c r="B595" s="108">
        <f>SUM(B596:B598)</f>
        <v>2307515</v>
      </c>
      <c r="C595" s="108">
        <f>SUM(C596:C598)</f>
        <v>446264</v>
      </c>
      <c r="D595" s="108">
        <f>SUM(D596:D598)</f>
        <v>2753779</v>
      </c>
      <c r="E595" s="108">
        <f t="shared" ref="E595:P595" si="357">SUM(E596:E598)</f>
        <v>1975665</v>
      </c>
      <c r="F595" s="108">
        <f t="shared" si="357"/>
        <v>548729</v>
      </c>
      <c r="G595" s="108">
        <f t="shared" si="357"/>
        <v>358710</v>
      </c>
      <c r="H595" s="108">
        <f t="shared" si="357"/>
        <v>2883104</v>
      </c>
      <c r="I595" s="141">
        <f>SUM(I596:I598)</f>
        <v>1939873</v>
      </c>
      <c r="J595" s="141">
        <f>SUM(J596:J598)</f>
        <v>481150</v>
      </c>
      <c r="K595" s="141">
        <f>SUM(K596:K598)</f>
        <v>23346</v>
      </c>
      <c r="L595" s="141">
        <f>SUM(L596:L598)</f>
        <v>2444369</v>
      </c>
      <c r="M595" s="108">
        <f t="shared" si="357"/>
        <v>35792</v>
      </c>
      <c r="N595" s="111">
        <f t="shared" si="357"/>
        <v>67579</v>
      </c>
      <c r="O595" s="108">
        <f t="shared" si="357"/>
        <v>335364</v>
      </c>
      <c r="P595" s="112">
        <f t="shared" si="357"/>
        <v>438735</v>
      </c>
      <c r="Q595" s="106"/>
    </row>
    <row r="596" spans="1:17" ht="12.75" customHeight="1">
      <c r="A596" s="113" t="s">
        <v>16</v>
      </c>
      <c r="B596" s="114">
        <f t="shared" ref="B596:G598" si="358">+B605+B614+B623+B632+B641+B650+B659+B668+B677+B686+B695</f>
        <v>2161451</v>
      </c>
      <c r="C596" s="114">
        <f t="shared" si="358"/>
        <v>0</v>
      </c>
      <c r="D596" s="114">
        <f t="shared" si="358"/>
        <v>2161451</v>
      </c>
      <c r="E596" s="114">
        <f t="shared" si="358"/>
        <v>1606589</v>
      </c>
      <c r="F596" s="114">
        <f t="shared" si="358"/>
        <v>548729</v>
      </c>
      <c r="G596" s="114">
        <f t="shared" si="358"/>
        <v>125842</v>
      </c>
      <c r="H596" s="114">
        <f>SUM(E596:G596)</f>
        <v>2281160</v>
      </c>
      <c r="I596" s="143">
        <f t="shared" ref="I596:K598" si="359">+I605+I614+I623+I632+I641+I650+I659+I668+I677+I686+I695</f>
        <v>1590623</v>
      </c>
      <c r="J596" s="143">
        <f t="shared" si="359"/>
        <v>481150</v>
      </c>
      <c r="K596" s="143">
        <f t="shared" si="359"/>
        <v>22209</v>
      </c>
      <c r="L596" s="143">
        <f>SUM(I596:K596)</f>
        <v>2093982</v>
      </c>
      <c r="M596" s="114">
        <f t="shared" ref="M596:O598" si="360">+E596-I596</f>
        <v>15966</v>
      </c>
      <c r="N596" s="115">
        <f t="shared" si="360"/>
        <v>67579</v>
      </c>
      <c r="O596" s="114">
        <f t="shared" si="360"/>
        <v>103633</v>
      </c>
      <c r="P596" s="116">
        <f>SUM(M596:O596)</f>
        <v>187178</v>
      </c>
      <c r="Q596" s="106"/>
    </row>
    <row r="597" spans="1:17" ht="12.75" customHeight="1">
      <c r="A597" s="113" t="s">
        <v>17</v>
      </c>
      <c r="B597" s="114">
        <f t="shared" si="358"/>
        <v>0</v>
      </c>
      <c r="C597" s="114">
        <f t="shared" si="358"/>
        <v>446264</v>
      </c>
      <c r="D597" s="114">
        <f t="shared" si="358"/>
        <v>446264</v>
      </c>
      <c r="E597" s="114">
        <f t="shared" si="358"/>
        <v>213396</v>
      </c>
      <c r="F597" s="114">
        <f t="shared" si="358"/>
        <v>0</v>
      </c>
      <c r="G597" s="114">
        <f t="shared" si="358"/>
        <v>232868</v>
      </c>
      <c r="H597" s="114">
        <f>SUM(E597:G597)</f>
        <v>446264</v>
      </c>
      <c r="I597" s="143">
        <f t="shared" si="359"/>
        <v>199181</v>
      </c>
      <c r="J597" s="143">
        <f t="shared" si="359"/>
        <v>0</v>
      </c>
      <c r="K597" s="143">
        <f t="shared" si="359"/>
        <v>1137</v>
      </c>
      <c r="L597" s="143">
        <f>SUM(I597:K597)</f>
        <v>200318</v>
      </c>
      <c r="M597" s="114">
        <f t="shared" si="360"/>
        <v>14215</v>
      </c>
      <c r="N597" s="115">
        <f t="shared" si="360"/>
        <v>0</v>
      </c>
      <c r="O597" s="114">
        <f t="shared" si="360"/>
        <v>231731</v>
      </c>
      <c r="P597" s="116">
        <f>SUM(M597:O597)</f>
        <v>245946</v>
      </c>
      <c r="Q597" s="106"/>
    </row>
    <row r="598" spans="1:17" ht="12.75" customHeight="1">
      <c r="A598" s="113" t="s">
        <v>18</v>
      </c>
      <c r="B598" s="114">
        <f t="shared" si="358"/>
        <v>146064</v>
      </c>
      <c r="C598" s="114">
        <f t="shared" si="358"/>
        <v>0</v>
      </c>
      <c r="D598" s="114">
        <f t="shared" si="358"/>
        <v>146064</v>
      </c>
      <c r="E598" s="114">
        <f t="shared" si="358"/>
        <v>155680</v>
      </c>
      <c r="F598" s="114">
        <f t="shared" si="358"/>
        <v>0</v>
      </c>
      <c r="G598" s="114">
        <f t="shared" si="358"/>
        <v>0</v>
      </c>
      <c r="H598" s="114">
        <f>SUM(E598:G598)</f>
        <v>155680</v>
      </c>
      <c r="I598" s="143">
        <f t="shared" si="359"/>
        <v>150069</v>
      </c>
      <c r="J598" s="143">
        <f t="shared" si="359"/>
        <v>0</v>
      </c>
      <c r="K598" s="143">
        <f t="shared" si="359"/>
        <v>0</v>
      </c>
      <c r="L598" s="143">
        <f>SUM(I598:K598)</f>
        <v>150069</v>
      </c>
      <c r="M598" s="114">
        <f t="shared" si="360"/>
        <v>5611</v>
      </c>
      <c r="N598" s="115">
        <f t="shared" si="360"/>
        <v>0</v>
      </c>
      <c r="O598" s="114">
        <f t="shared" si="360"/>
        <v>0</v>
      </c>
      <c r="P598" s="116">
        <f>SUM(M598:O598)</f>
        <v>5611</v>
      </c>
      <c r="Q598" s="106"/>
    </row>
    <row r="599" spans="1:17" ht="12.75" customHeight="1">
      <c r="A599" s="113" t="s">
        <v>19</v>
      </c>
      <c r="B599" s="102">
        <f>SUM(B600:B601)</f>
        <v>0</v>
      </c>
      <c r="C599" s="102">
        <f>SUM(C600:C601)</f>
        <v>9250</v>
      </c>
      <c r="D599" s="102">
        <f>SUM(D600:D601)</f>
        <v>9250</v>
      </c>
      <c r="E599" s="102">
        <f t="shared" ref="E599:P599" si="361">SUM(E600:E601)</f>
        <v>0</v>
      </c>
      <c r="F599" s="102">
        <f t="shared" si="361"/>
        <v>7434</v>
      </c>
      <c r="G599" s="102">
        <f t="shared" si="361"/>
        <v>1861</v>
      </c>
      <c r="H599" s="102">
        <f t="shared" si="361"/>
        <v>9295</v>
      </c>
      <c r="I599" s="139">
        <f>SUM(I600:I601)</f>
        <v>0</v>
      </c>
      <c r="J599" s="139">
        <f>SUM(J600:J601)</f>
        <v>2674</v>
      </c>
      <c r="K599" s="139">
        <f>SUM(K600:K601)</f>
        <v>1844</v>
      </c>
      <c r="L599" s="139">
        <f>SUM(L600:L601)</f>
        <v>4518</v>
      </c>
      <c r="M599" s="102">
        <f t="shared" si="361"/>
        <v>0</v>
      </c>
      <c r="N599" s="104">
        <f t="shared" si="361"/>
        <v>4760</v>
      </c>
      <c r="O599" s="102">
        <f t="shared" si="361"/>
        <v>17</v>
      </c>
      <c r="P599" s="105">
        <f t="shared" si="361"/>
        <v>4777</v>
      </c>
      <c r="Q599" s="106"/>
    </row>
    <row r="600" spans="1:17" ht="12.75" customHeight="1">
      <c r="A600" s="113" t="s">
        <v>20</v>
      </c>
      <c r="B600" s="114">
        <f t="shared" ref="B600:G601" si="362">+B609+B618+B627+B636+B645+B654+B663+B672+B681+B690+B699</f>
        <v>0</v>
      </c>
      <c r="C600" s="114">
        <f t="shared" si="362"/>
        <v>9250</v>
      </c>
      <c r="D600" s="114">
        <f t="shared" si="362"/>
        <v>9250</v>
      </c>
      <c r="E600" s="114">
        <f t="shared" si="362"/>
        <v>0</v>
      </c>
      <c r="F600" s="114">
        <f t="shared" si="362"/>
        <v>7434</v>
      </c>
      <c r="G600" s="114">
        <f t="shared" si="362"/>
        <v>1861</v>
      </c>
      <c r="H600" s="114">
        <f>SUM(E600:G600)</f>
        <v>9295</v>
      </c>
      <c r="I600" s="143">
        <f t="shared" ref="I600:K601" si="363">+I609+I618+I627+I636+I645+I654+I663+I672+I681+I690+I699</f>
        <v>0</v>
      </c>
      <c r="J600" s="143">
        <f t="shared" si="363"/>
        <v>2674</v>
      </c>
      <c r="K600" s="143">
        <f t="shared" si="363"/>
        <v>1844</v>
      </c>
      <c r="L600" s="143">
        <f>SUM(I600:K600)</f>
        <v>4518</v>
      </c>
      <c r="M600" s="114">
        <f t="shared" ref="M600:O601" si="364">+E600-I600</f>
        <v>0</v>
      </c>
      <c r="N600" s="115">
        <f t="shared" si="364"/>
        <v>4760</v>
      </c>
      <c r="O600" s="114">
        <f t="shared" si="364"/>
        <v>17</v>
      </c>
      <c r="P600" s="116">
        <f>SUM(M600:O600)</f>
        <v>4777</v>
      </c>
      <c r="Q600" s="106"/>
    </row>
    <row r="601" spans="1:17" ht="12.75" customHeight="1">
      <c r="A601" s="113" t="s">
        <v>21</v>
      </c>
      <c r="B601" s="114">
        <f t="shared" si="362"/>
        <v>0</v>
      </c>
      <c r="C601" s="114">
        <f t="shared" si="362"/>
        <v>0</v>
      </c>
      <c r="D601" s="114">
        <f t="shared" si="362"/>
        <v>0</v>
      </c>
      <c r="E601" s="114">
        <f t="shared" si="362"/>
        <v>0</v>
      </c>
      <c r="F601" s="114">
        <f t="shared" si="362"/>
        <v>0</v>
      </c>
      <c r="G601" s="114">
        <f t="shared" si="362"/>
        <v>0</v>
      </c>
      <c r="H601" s="114">
        <f>SUM(E601:G601)</f>
        <v>0</v>
      </c>
      <c r="I601" s="143">
        <f t="shared" si="363"/>
        <v>0</v>
      </c>
      <c r="J601" s="143">
        <f t="shared" si="363"/>
        <v>0</v>
      </c>
      <c r="K601" s="143">
        <f t="shared" si="363"/>
        <v>0</v>
      </c>
      <c r="L601" s="143">
        <f>SUM(I601:K601)</f>
        <v>0</v>
      </c>
      <c r="M601" s="114">
        <f t="shared" si="364"/>
        <v>0</v>
      </c>
      <c r="N601" s="115">
        <f t="shared" si="364"/>
        <v>0</v>
      </c>
      <c r="O601" s="114">
        <f t="shared" si="364"/>
        <v>0</v>
      </c>
      <c r="P601" s="116">
        <f>SUM(M601:O601)</f>
        <v>0</v>
      </c>
      <c r="Q601" s="106"/>
    </row>
    <row r="602" spans="1:17" ht="12.75" customHeight="1">
      <c r="A602" s="149"/>
      <c r="B602" s="150"/>
      <c r="C602" s="150"/>
      <c r="D602" s="150"/>
      <c r="E602" s="114"/>
      <c r="F602" s="114"/>
      <c r="G602" s="114"/>
      <c r="H602" s="114"/>
      <c r="I602" s="43"/>
      <c r="J602" s="43"/>
      <c r="K602" s="43"/>
      <c r="L602" s="78"/>
      <c r="M602" s="114"/>
      <c r="N602" s="115"/>
      <c r="O602" s="114"/>
      <c r="P602" s="116"/>
      <c r="Q602" s="106"/>
    </row>
    <row r="603" spans="1:17" ht="12.75" customHeight="1">
      <c r="A603" s="120" t="s">
        <v>287</v>
      </c>
      <c r="B603" s="102">
        <f>+B604+B608</f>
        <v>229351</v>
      </c>
      <c r="C603" s="102">
        <f>+C604+C608</f>
        <v>31597</v>
      </c>
      <c r="D603" s="102">
        <f>+D604+D608</f>
        <v>260948</v>
      </c>
      <c r="E603" s="102">
        <f t="shared" ref="E603:P603" si="365">+E604+E608</f>
        <v>185476</v>
      </c>
      <c r="F603" s="102">
        <f t="shared" si="365"/>
        <v>55885</v>
      </c>
      <c r="G603" s="102">
        <f t="shared" si="365"/>
        <v>19667</v>
      </c>
      <c r="H603" s="102">
        <f t="shared" si="365"/>
        <v>261028</v>
      </c>
      <c r="I603" s="45">
        <f t="shared" si="365"/>
        <v>185425</v>
      </c>
      <c r="J603" s="45">
        <f t="shared" si="365"/>
        <v>50706</v>
      </c>
      <c r="K603" s="45">
        <f t="shared" si="365"/>
        <v>473</v>
      </c>
      <c r="L603" s="103">
        <f t="shared" si="365"/>
        <v>236604</v>
      </c>
      <c r="M603" s="102">
        <f t="shared" si="365"/>
        <v>51</v>
      </c>
      <c r="N603" s="104">
        <f t="shared" si="365"/>
        <v>5179</v>
      </c>
      <c r="O603" s="102">
        <f t="shared" si="365"/>
        <v>19194</v>
      </c>
      <c r="P603" s="105">
        <f t="shared" si="365"/>
        <v>24424</v>
      </c>
      <c r="Q603" s="106">
        <f>+L603/H603</f>
        <v>0.90643149393934752</v>
      </c>
    </row>
    <row r="604" spans="1:17" ht="12.75" customHeight="1">
      <c r="A604" s="127" t="s">
        <v>15</v>
      </c>
      <c r="B604" s="108">
        <f>SUM(B605:B607)</f>
        <v>229351</v>
      </c>
      <c r="C604" s="108">
        <f>SUM(C605:C607)</f>
        <v>28758</v>
      </c>
      <c r="D604" s="108">
        <f>SUM(D605:D607)</f>
        <v>258109</v>
      </c>
      <c r="E604" s="108">
        <f t="shared" ref="E604:P604" si="366">SUM(E605:E607)</f>
        <v>185476</v>
      </c>
      <c r="F604" s="108">
        <f t="shared" si="366"/>
        <v>53436</v>
      </c>
      <c r="G604" s="108">
        <f t="shared" si="366"/>
        <v>19277</v>
      </c>
      <c r="H604" s="108">
        <f t="shared" si="366"/>
        <v>258189</v>
      </c>
      <c r="I604" s="109">
        <f>SUM(I605:I607)</f>
        <v>185425</v>
      </c>
      <c r="J604" s="109">
        <f>SUM(J605:J607)</f>
        <v>48257</v>
      </c>
      <c r="K604" s="109">
        <f>SUM(K605:K607)</f>
        <v>92</v>
      </c>
      <c r="L604" s="110">
        <f>SUM(L605:L607)</f>
        <v>233774</v>
      </c>
      <c r="M604" s="108">
        <f t="shared" si="366"/>
        <v>51</v>
      </c>
      <c r="N604" s="111">
        <f t="shared" si="366"/>
        <v>5179</v>
      </c>
      <c r="O604" s="108">
        <f t="shared" si="366"/>
        <v>19185</v>
      </c>
      <c r="P604" s="112">
        <f t="shared" si="366"/>
        <v>24415</v>
      </c>
      <c r="Q604" s="106"/>
    </row>
    <row r="605" spans="1:17" ht="12.75" customHeight="1">
      <c r="A605" s="113" t="s">
        <v>16</v>
      </c>
      <c r="B605" s="114">
        <v>214798</v>
      </c>
      <c r="C605" s="114"/>
      <c r="D605" s="114">
        <f>+B605+C605</f>
        <v>214798</v>
      </c>
      <c r="E605" s="114">
        <v>160529</v>
      </c>
      <c r="F605" s="114">
        <v>53436</v>
      </c>
      <c r="G605" s="114">
        <v>833</v>
      </c>
      <c r="H605" s="114">
        <f>SUM(E605:G605)</f>
        <v>214798</v>
      </c>
      <c r="I605" s="43">
        <v>160509</v>
      </c>
      <c r="J605" s="43">
        <v>48257</v>
      </c>
      <c r="K605" s="43">
        <v>92</v>
      </c>
      <c r="L605" s="78">
        <f>SUM(I605:K605)</f>
        <v>208858</v>
      </c>
      <c r="M605" s="114">
        <f t="shared" ref="M605:O607" si="367">+E605-I605</f>
        <v>20</v>
      </c>
      <c r="N605" s="115">
        <f t="shared" si="367"/>
        <v>5179</v>
      </c>
      <c r="O605" s="114">
        <f t="shared" si="367"/>
        <v>741</v>
      </c>
      <c r="P605" s="116">
        <f>SUM(M605:O605)</f>
        <v>5940</v>
      </c>
      <c r="Q605" s="106"/>
    </row>
    <row r="606" spans="1:17" ht="12.75" customHeight="1">
      <c r="A606" s="113" t="s">
        <v>17</v>
      </c>
      <c r="B606" s="114"/>
      <c r="C606" s="114">
        <f>+H606</f>
        <v>28758</v>
      </c>
      <c r="D606" s="114">
        <f>+B606+C606</f>
        <v>28758</v>
      </c>
      <c r="E606" s="114">
        <v>10314</v>
      </c>
      <c r="F606" s="114"/>
      <c r="G606" s="114">
        <v>18444</v>
      </c>
      <c r="H606" s="114">
        <f>SUM(E606:G606)</f>
        <v>28758</v>
      </c>
      <c r="I606" s="43">
        <v>10314</v>
      </c>
      <c r="J606" s="43"/>
      <c r="K606" s="43"/>
      <c r="L606" s="78">
        <f>SUM(I606:K606)</f>
        <v>10314</v>
      </c>
      <c r="M606" s="114">
        <f t="shared" si="367"/>
        <v>0</v>
      </c>
      <c r="N606" s="115">
        <f t="shared" si="367"/>
        <v>0</v>
      </c>
      <c r="O606" s="114">
        <f t="shared" si="367"/>
        <v>18444</v>
      </c>
      <c r="P606" s="116">
        <f>SUM(M606:O606)</f>
        <v>18444</v>
      </c>
      <c r="Q606" s="106"/>
    </row>
    <row r="607" spans="1:17" ht="12.75" customHeight="1">
      <c r="A607" s="113" t="s">
        <v>18</v>
      </c>
      <c r="B607" s="114">
        <v>14553</v>
      </c>
      <c r="C607" s="114"/>
      <c r="D607" s="114">
        <f>+B607+C607</f>
        <v>14553</v>
      </c>
      <c r="E607" s="114">
        <v>14633</v>
      </c>
      <c r="F607" s="114"/>
      <c r="G607" s="114"/>
      <c r="H607" s="114">
        <f>SUM(E607:G607)</f>
        <v>14633</v>
      </c>
      <c r="I607" s="43">
        <v>14602</v>
      </c>
      <c r="J607" s="43"/>
      <c r="K607" s="43"/>
      <c r="L607" s="78">
        <f>SUM(I607:K607)</f>
        <v>14602</v>
      </c>
      <c r="M607" s="114">
        <f t="shared" si="367"/>
        <v>31</v>
      </c>
      <c r="N607" s="115">
        <f t="shared" si="367"/>
        <v>0</v>
      </c>
      <c r="O607" s="114">
        <f t="shared" si="367"/>
        <v>0</v>
      </c>
      <c r="P607" s="116">
        <f>SUM(M607:O607)</f>
        <v>31</v>
      </c>
      <c r="Q607" s="106"/>
    </row>
    <row r="608" spans="1:17" ht="12.75" customHeight="1">
      <c r="A608" s="113" t="s">
        <v>19</v>
      </c>
      <c r="B608" s="102">
        <f>SUM(B609:B610)</f>
        <v>0</v>
      </c>
      <c r="C608" s="102">
        <f>SUM(C609:C610)</f>
        <v>2839</v>
      </c>
      <c r="D608" s="102">
        <f>SUM(D609:D610)</f>
        <v>2839</v>
      </c>
      <c r="E608" s="102">
        <f t="shared" ref="E608:P608" si="368">SUM(E609:E610)</f>
        <v>0</v>
      </c>
      <c r="F608" s="102">
        <f t="shared" si="368"/>
        <v>2449</v>
      </c>
      <c r="G608" s="102">
        <f t="shared" si="368"/>
        <v>390</v>
      </c>
      <c r="H608" s="102">
        <f t="shared" si="368"/>
        <v>2839</v>
      </c>
      <c r="I608" s="45">
        <f>SUM(I609:I610)</f>
        <v>0</v>
      </c>
      <c r="J608" s="45">
        <f>SUM(J609:J610)</f>
        <v>2449</v>
      </c>
      <c r="K608" s="45">
        <f>SUM(K609:K610)</f>
        <v>381</v>
      </c>
      <c r="L608" s="103">
        <f>SUM(L609:L610)</f>
        <v>2830</v>
      </c>
      <c r="M608" s="102">
        <f t="shared" si="368"/>
        <v>0</v>
      </c>
      <c r="N608" s="104">
        <f t="shared" si="368"/>
        <v>0</v>
      </c>
      <c r="O608" s="102">
        <f t="shared" si="368"/>
        <v>9</v>
      </c>
      <c r="P608" s="105">
        <f t="shared" si="368"/>
        <v>9</v>
      </c>
      <c r="Q608" s="106"/>
    </row>
    <row r="609" spans="1:17" ht="12.75" customHeight="1">
      <c r="A609" s="113" t="s">
        <v>20</v>
      </c>
      <c r="B609" s="114"/>
      <c r="C609" s="114">
        <f>+H609</f>
        <v>2839</v>
      </c>
      <c r="D609" s="114">
        <f>+B609+C609</f>
        <v>2839</v>
      </c>
      <c r="E609" s="114"/>
      <c r="F609" s="114">
        <v>2449</v>
      </c>
      <c r="G609" s="114">
        <v>390</v>
      </c>
      <c r="H609" s="114">
        <f>SUM(E609:G609)</f>
        <v>2839</v>
      </c>
      <c r="I609" s="43"/>
      <c r="J609" s="43">
        <v>2449</v>
      </c>
      <c r="K609" s="43">
        <v>381</v>
      </c>
      <c r="L609" s="78">
        <f>SUM(I609:K609)</f>
        <v>2830</v>
      </c>
      <c r="M609" s="114">
        <f t="shared" ref="M609:O610" si="369">+E609-I609</f>
        <v>0</v>
      </c>
      <c r="N609" s="115">
        <f t="shared" si="369"/>
        <v>0</v>
      </c>
      <c r="O609" s="114">
        <f t="shared" si="369"/>
        <v>9</v>
      </c>
      <c r="P609" s="116">
        <f>SUM(M609:O609)</f>
        <v>9</v>
      </c>
      <c r="Q609" s="106"/>
    </row>
    <row r="610" spans="1:17" ht="12.75" customHeight="1">
      <c r="A610" s="113" t="s">
        <v>21</v>
      </c>
      <c r="B610" s="114"/>
      <c r="C610" s="114"/>
      <c r="D610" s="114">
        <f>+B610+C610</f>
        <v>0</v>
      </c>
      <c r="E610" s="114"/>
      <c r="F610" s="114"/>
      <c r="G610" s="114"/>
      <c r="H610" s="114">
        <f>SUM(E610:G610)</f>
        <v>0</v>
      </c>
      <c r="I610" s="43"/>
      <c r="J610" s="43"/>
      <c r="K610" s="43"/>
      <c r="L610" s="78">
        <f>SUM(I610:K610)</f>
        <v>0</v>
      </c>
      <c r="M610" s="114">
        <f t="shared" si="369"/>
        <v>0</v>
      </c>
      <c r="N610" s="115">
        <f t="shared" si="369"/>
        <v>0</v>
      </c>
      <c r="O610" s="114">
        <f t="shared" si="369"/>
        <v>0</v>
      </c>
      <c r="P610" s="116">
        <f>SUM(M610:O610)</f>
        <v>0</v>
      </c>
      <c r="Q610" s="106"/>
    </row>
    <row r="611" spans="1:17" ht="12.75" customHeight="1">
      <c r="A611" s="121"/>
      <c r="B611" s="122"/>
      <c r="C611" s="122"/>
      <c r="D611" s="122"/>
      <c r="E611" s="114"/>
      <c r="F611" s="114"/>
      <c r="G611" s="114"/>
      <c r="H611" s="114"/>
      <c r="I611" s="43"/>
      <c r="J611" s="43"/>
      <c r="K611" s="43"/>
      <c r="L611" s="78"/>
      <c r="M611" s="114"/>
      <c r="N611" s="115"/>
      <c r="O611" s="114"/>
      <c r="P611" s="116"/>
      <c r="Q611" s="106"/>
    </row>
    <row r="612" spans="1:17">
      <c r="A612" s="135" t="s">
        <v>288</v>
      </c>
      <c r="B612" s="102">
        <f>+B613+B617</f>
        <v>374809</v>
      </c>
      <c r="C612" s="102">
        <f>+C613+C617</f>
        <v>116677</v>
      </c>
      <c r="D612" s="102">
        <f>+D613+D617</f>
        <v>491486</v>
      </c>
      <c r="E612" s="102">
        <f t="shared" ref="E612:P612" si="370">+E613+E617</f>
        <v>330410</v>
      </c>
      <c r="F612" s="102">
        <f t="shared" si="370"/>
        <v>84193</v>
      </c>
      <c r="G612" s="102">
        <f t="shared" si="370"/>
        <v>77532</v>
      </c>
      <c r="H612" s="102">
        <f t="shared" si="370"/>
        <v>492135</v>
      </c>
      <c r="I612" s="45">
        <f t="shared" si="370"/>
        <v>329784</v>
      </c>
      <c r="J612" s="45">
        <f t="shared" si="370"/>
        <v>62104</v>
      </c>
      <c r="K612" s="45">
        <f t="shared" si="370"/>
        <v>627</v>
      </c>
      <c r="L612" s="103">
        <f t="shared" si="370"/>
        <v>392515</v>
      </c>
      <c r="M612" s="102">
        <f t="shared" si="370"/>
        <v>626</v>
      </c>
      <c r="N612" s="104">
        <f t="shared" si="370"/>
        <v>22089</v>
      </c>
      <c r="O612" s="102">
        <f t="shared" si="370"/>
        <v>76905</v>
      </c>
      <c r="P612" s="105">
        <f t="shared" si="370"/>
        <v>99620</v>
      </c>
      <c r="Q612" s="106">
        <f>+L612/H612</f>
        <v>0.79757586841009076</v>
      </c>
    </row>
    <row r="613" spans="1:17" ht="12.75" customHeight="1">
      <c r="A613" s="127" t="s">
        <v>15</v>
      </c>
      <c r="B613" s="108">
        <f>SUM(B614:B616)</f>
        <v>374809</v>
      </c>
      <c r="C613" s="108">
        <f>SUM(C614:C616)</f>
        <v>112793</v>
      </c>
      <c r="D613" s="108">
        <f>SUM(D614:D616)</f>
        <v>487602</v>
      </c>
      <c r="E613" s="108">
        <f t="shared" ref="E613:P613" si="371">SUM(E614:E616)</f>
        <v>330410</v>
      </c>
      <c r="F613" s="108">
        <f t="shared" si="371"/>
        <v>80939</v>
      </c>
      <c r="G613" s="108">
        <f t="shared" si="371"/>
        <v>76902</v>
      </c>
      <c r="H613" s="108">
        <f t="shared" si="371"/>
        <v>488251</v>
      </c>
      <c r="I613" s="109">
        <f>SUM(I614:I616)</f>
        <v>329784</v>
      </c>
      <c r="J613" s="109">
        <f>SUM(J614:J616)</f>
        <v>62104</v>
      </c>
      <c r="K613" s="109">
        <f>SUM(K614:K616)</f>
        <v>0</v>
      </c>
      <c r="L613" s="110">
        <f>SUM(L614:L616)</f>
        <v>391888</v>
      </c>
      <c r="M613" s="108">
        <f t="shared" si="371"/>
        <v>626</v>
      </c>
      <c r="N613" s="111">
        <f t="shared" si="371"/>
        <v>18835</v>
      </c>
      <c r="O613" s="108">
        <f t="shared" si="371"/>
        <v>76902</v>
      </c>
      <c r="P613" s="112">
        <f t="shared" si="371"/>
        <v>96363</v>
      </c>
      <c r="Q613" s="106"/>
    </row>
    <row r="614" spans="1:17" ht="12.75" customHeight="1">
      <c r="A614" s="113" t="s">
        <v>16</v>
      </c>
      <c r="B614" s="114">
        <v>349463</v>
      </c>
      <c r="C614" s="114"/>
      <c r="D614" s="114">
        <f>+B614+C614</f>
        <v>349463</v>
      </c>
      <c r="E614" s="114">
        <v>268524</v>
      </c>
      <c r="F614" s="114">
        <v>80939</v>
      </c>
      <c r="G614" s="114"/>
      <c r="H614" s="114">
        <f>SUM(E614:G614)</f>
        <v>349463</v>
      </c>
      <c r="I614" s="43">
        <v>268524</v>
      </c>
      <c r="J614" s="43">
        <v>62104</v>
      </c>
      <c r="K614" s="43"/>
      <c r="L614" s="78">
        <f>SUM(I614:K614)</f>
        <v>330628</v>
      </c>
      <c r="M614" s="114">
        <f t="shared" ref="M614:O616" si="372">+E614-I614</f>
        <v>0</v>
      </c>
      <c r="N614" s="115">
        <f t="shared" si="372"/>
        <v>18835</v>
      </c>
      <c r="O614" s="114">
        <f t="shared" si="372"/>
        <v>0</v>
      </c>
      <c r="P614" s="116">
        <f>SUM(M614:O614)</f>
        <v>18835</v>
      </c>
      <c r="Q614" s="106"/>
    </row>
    <row r="615" spans="1:17" ht="12.75" customHeight="1">
      <c r="A615" s="113" t="s">
        <v>17</v>
      </c>
      <c r="B615" s="114"/>
      <c r="C615" s="114">
        <f>+H615</f>
        <v>112793</v>
      </c>
      <c r="D615" s="114">
        <f>+B615+C615</f>
        <v>112793</v>
      </c>
      <c r="E615" s="114">
        <v>35891</v>
      </c>
      <c r="F615" s="114"/>
      <c r="G615" s="114">
        <v>76902</v>
      </c>
      <c r="H615" s="114">
        <f>SUM(E615:G615)</f>
        <v>112793</v>
      </c>
      <c r="I615" s="43">
        <v>35891</v>
      </c>
      <c r="J615" s="43"/>
      <c r="K615" s="43"/>
      <c r="L615" s="78">
        <f>SUM(I615:K615)</f>
        <v>35891</v>
      </c>
      <c r="M615" s="114">
        <f t="shared" si="372"/>
        <v>0</v>
      </c>
      <c r="N615" s="115">
        <f t="shared" si="372"/>
        <v>0</v>
      </c>
      <c r="O615" s="114">
        <f t="shared" si="372"/>
        <v>76902</v>
      </c>
      <c r="P615" s="116">
        <f>SUM(M615:O615)</f>
        <v>76902</v>
      </c>
      <c r="Q615" s="106"/>
    </row>
    <row r="616" spans="1:17" ht="12.75" customHeight="1">
      <c r="A616" s="113" t="s">
        <v>18</v>
      </c>
      <c r="B616" s="114">
        <v>25346</v>
      </c>
      <c r="C616" s="114"/>
      <c r="D616" s="114">
        <f>+B616+C616</f>
        <v>25346</v>
      </c>
      <c r="E616" s="114">
        <v>25995</v>
      </c>
      <c r="F616" s="114"/>
      <c r="G616" s="114"/>
      <c r="H616" s="114">
        <f>SUM(E616:G616)</f>
        <v>25995</v>
      </c>
      <c r="I616" s="43">
        <v>25369</v>
      </c>
      <c r="J616" s="43"/>
      <c r="K616" s="43"/>
      <c r="L616" s="78">
        <f>SUM(I616:K616)</f>
        <v>25369</v>
      </c>
      <c r="M616" s="114">
        <f t="shared" si="372"/>
        <v>626</v>
      </c>
      <c r="N616" s="115">
        <f t="shared" si="372"/>
        <v>0</v>
      </c>
      <c r="O616" s="114">
        <f t="shared" si="372"/>
        <v>0</v>
      </c>
      <c r="P616" s="116">
        <f>SUM(M616:O616)</f>
        <v>626</v>
      </c>
      <c r="Q616" s="106"/>
    </row>
    <row r="617" spans="1:17" ht="12.75" customHeight="1">
      <c r="A617" s="113" t="s">
        <v>19</v>
      </c>
      <c r="B617" s="102">
        <f>SUM(B618:B619)</f>
        <v>0</v>
      </c>
      <c r="C617" s="102">
        <f>SUM(C618:C619)</f>
        <v>3884</v>
      </c>
      <c r="D617" s="102">
        <f>SUM(D618:D619)</f>
        <v>3884</v>
      </c>
      <c r="E617" s="102">
        <f t="shared" ref="E617:P617" si="373">SUM(E618:E619)</f>
        <v>0</v>
      </c>
      <c r="F617" s="102">
        <f t="shared" si="373"/>
        <v>3254</v>
      </c>
      <c r="G617" s="102">
        <f t="shared" si="373"/>
        <v>630</v>
      </c>
      <c r="H617" s="102">
        <f t="shared" si="373"/>
        <v>3884</v>
      </c>
      <c r="I617" s="45">
        <f>SUM(I618:I619)</f>
        <v>0</v>
      </c>
      <c r="J617" s="45">
        <f>SUM(J618:J619)</f>
        <v>0</v>
      </c>
      <c r="K617" s="45">
        <f>SUM(K618:K619)</f>
        <v>627</v>
      </c>
      <c r="L617" s="103">
        <f>SUM(L618:L619)</f>
        <v>627</v>
      </c>
      <c r="M617" s="102">
        <f t="shared" si="373"/>
        <v>0</v>
      </c>
      <c r="N617" s="104">
        <f t="shared" si="373"/>
        <v>3254</v>
      </c>
      <c r="O617" s="102">
        <f t="shared" si="373"/>
        <v>3</v>
      </c>
      <c r="P617" s="105">
        <f t="shared" si="373"/>
        <v>3257</v>
      </c>
      <c r="Q617" s="106"/>
    </row>
    <row r="618" spans="1:17" ht="12.75" customHeight="1">
      <c r="A618" s="113" t="s">
        <v>20</v>
      </c>
      <c r="B618" s="114"/>
      <c r="C618" s="114">
        <f>+H618</f>
        <v>3884</v>
      </c>
      <c r="D618" s="114">
        <f>+B618+C618</f>
        <v>3884</v>
      </c>
      <c r="E618" s="114"/>
      <c r="F618" s="114">
        <v>3254</v>
      </c>
      <c r="G618" s="114">
        <v>630</v>
      </c>
      <c r="H618" s="114">
        <f>SUM(E618:G618)</f>
        <v>3884</v>
      </c>
      <c r="I618" s="43"/>
      <c r="J618" s="43"/>
      <c r="K618" s="43">
        <v>627</v>
      </c>
      <c r="L618" s="78">
        <f>SUM(I618:K618)</f>
        <v>627</v>
      </c>
      <c r="M618" s="114">
        <f t="shared" ref="M618:O619" si="374">+E618-I618</f>
        <v>0</v>
      </c>
      <c r="N618" s="115">
        <f t="shared" si="374"/>
        <v>3254</v>
      </c>
      <c r="O618" s="114">
        <f t="shared" si="374"/>
        <v>3</v>
      </c>
      <c r="P618" s="116">
        <f>SUM(M618:O618)</f>
        <v>3257</v>
      </c>
      <c r="Q618" s="106"/>
    </row>
    <row r="619" spans="1:17" ht="12.75" customHeight="1">
      <c r="A619" s="113" t="s">
        <v>21</v>
      </c>
      <c r="B619" s="114"/>
      <c r="C619" s="114"/>
      <c r="D619" s="114">
        <f>+B619+C619</f>
        <v>0</v>
      </c>
      <c r="E619" s="114"/>
      <c r="F619" s="114"/>
      <c r="G619" s="114"/>
      <c r="H619" s="114">
        <f>SUM(E619:G619)</f>
        <v>0</v>
      </c>
      <c r="I619" s="43"/>
      <c r="J619" s="43"/>
      <c r="K619" s="43"/>
      <c r="L619" s="78">
        <f>SUM(I619:K619)</f>
        <v>0</v>
      </c>
      <c r="M619" s="114">
        <f t="shared" si="374"/>
        <v>0</v>
      </c>
      <c r="N619" s="115">
        <f t="shared" si="374"/>
        <v>0</v>
      </c>
      <c r="O619" s="114">
        <f t="shared" si="374"/>
        <v>0</v>
      </c>
      <c r="P619" s="116">
        <f>SUM(M619:O619)</f>
        <v>0</v>
      </c>
      <c r="Q619" s="106"/>
    </row>
    <row r="620" spans="1:17" ht="12.75" customHeight="1">
      <c r="A620" s="127"/>
      <c r="B620" s="137"/>
      <c r="C620" s="137"/>
      <c r="D620" s="137"/>
      <c r="E620" s="114"/>
      <c r="F620" s="114"/>
      <c r="G620" s="114"/>
      <c r="H620" s="114"/>
      <c r="I620" s="43"/>
      <c r="J620" s="43"/>
      <c r="K620" s="43"/>
      <c r="L620" s="78"/>
      <c r="M620" s="114"/>
      <c r="N620" s="115"/>
      <c r="O620" s="114"/>
      <c r="P620" s="116"/>
      <c r="Q620" s="106"/>
    </row>
    <row r="621" spans="1:17" ht="12.75" customHeight="1">
      <c r="A621" s="135" t="s">
        <v>289</v>
      </c>
      <c r="B621" s="102">
        <f>+B622+B626</f>
        <v>170446</v>
      </c>
      <c r="C621" s="102">
        <f>+C622+C626</f>
        <v>16048</v>
      </c>
      <c r="D621" s="102">
        <f>+D622+D626</f>
        <v>186494</v>
      </c>
      <c r="E621" s="102">
        <f t="shared" ref="E621:P621" si="375">+E622+E626</f>
        <v>138474</v>
      </c>
      <c r="F621" s="102">
        <f t="shared" si="375"/>
        <v>48729</v>
      </c>
      <c r="G621" s="102">
        <f t="shared" si="375"/>
        <v>19921</v>
      </c>
      <c r="H621" s="102">
        <f t="shared" si="375"/>
        <v>207124</v>
      </c>
      <c r="I621" s="45">
        <f t="shared" si="375"/>
        <v>138089</v>
      </c>
      <c r="J621" s="45">
        <f t="shared" si="375"/>
        <v>40933</v>
      </c>
      <c r="K621" s="45">
        <f t="shared" si="375"/>
        <v>0</v>
      </c>
      <c r="L621" s="103">
        <f t="shared" si="375"/>
        <v>179022</v>
      </c>
      <c r="M621" s="102">
        <f t="shared" si="375"/>
        <v>385</v>
      </c>
      <c r="N621" s="104">
        <f t="shared" si="375"/>
        <v>7796</v>
      </c>
      <c r="O621" s="102">
        <f t="shared" si="375"/>
        <v>19921</v>
      </c>
      <c r="P621" s="105">
        <f t="shared" si="375"/>
        <v>28102</v>
      </c>
      <c r="Q621" s="106">
        <f>+L621/H621</f>
        <v>0.86432282111199088</v>
      </c>
    </row>
    <row r="622" spans="1:17" ht="12.75" customHeight="1">
      <c r="A622" s="127" t="s">
        <v>15</v>
      </c>
      <c r="B622" s="108">
        <f>SUM(B623:B625)</f>
        <v>170446</v>
      </c>
      <c r="C622" s="108">
        <f>SUM(C623:C625)</f>
        <v>16048</v>
      </c>
      <c r="D622" s="108">
        <f>SUM(D623:D625)</f>
        <v>186494</v>
      </c>
      <c r="E622" s="108">
        <f t="shared" ref="E622:P622" si="376">SUM(E623:E625)</f>
        <v>138474</v>
      </c>
      <c r="F622" s="108">
        <f t="shared" si="376"/>
        <v>48729</v>
      </c>
      <c r="G622" s="108">
        <f t="shared" si="376"/>
        <v>19921</v>
      </c>
      <c r="H622" s="108">
        <f t="shared" si="376"/>
        <v>207124</v>
      </c>
      <c r="I622" s="109">
        <f>SUM(I623:I625)</f>
        <v>138089</v>
      </c>
      <c r="J622" s="109">
        <f>SUM(J623:J625)</f>
        <v>40933</v>
      </c>
      <c r="K622" s="109">
        <f>SUM(K623:K625)</f>
        <v>0</v>
      </c>
      <c r="L622" s="110">
        <f>SUM(L623:L625)</f>
        <v>179022</v>
      </c>
      <c r="M622" s="108">
        <f t="shared" si="376"/>
        <v>385</v>
      </c>
      <c r="N622" s="111">
        <f t="shared" si="376"/>
        <v>7796</v>
      </c>
      <c r="O622" s="108">
        <f t="shared" si="376"/>
        <v>19921</v>
      </c>
      <c r="P622" s="112">
        <f t="shared" si="376"/>
        <v>28102</v>
      </c>
      <c r="Q622" s="106"/>
    </row>
    <row r="623" spans="1:17" ht="12.75" customHeight="1">
      <c r="A623" s="113" t="s">
        <v>16</v>
      </c>
      <c r="B623" s="114">
        <v>160424</v>
      </c>
      <c r="C623" s="114"/>
      <c r="D623" s="114">
        <f>+B623+C623</f>
        <v>160424</v>
      </c>
      <c r="E623" s="114">
        <v>111695</v>
      </c>
      <c r="F623" s="114">
        <v>48729</v>
      </c>
      <c r="G623" s="114">
        <v>19921</v>
      </c>
      <c r="H623" s="114">
        <f>SUM(E623:G623)</f>
        <v>180345</v>
      </c>
      <c r="I623" s="43">
        <v>111646</v>
      </c>
      <c r="J623" s="43">
        <v>40933</v>
      </c>
      <c r="K623" s="43"/>
      <c r="L623" s="78">
        <f>SUM(I623:K623)</f>
        <v>152579</v>
      </c>
      <c r="M623" s="114">
        <f t="shared" ref="M623:O625" si="377">+E623-I623</f>
        <v>49</v>
      </c>
      <c r="N623" s="115">
        <f t="shared" si="377"/>
        <v>7796</v>
      </c>
      <c r="O623" s="114">
        <f t="shared" si="377"/>
        <v>19921</v>
      </c>
      <c r="P623" s="116">
        <f>SUM(M623:O623)</f>
        <v>27766</v>
      </c>
      <c r="Q623" s="106"/>
    </row>
    <row r="624" spans="1:17" ht="12.75" customHeight="1">
      <c r="A624" s="113" t="s">
        <v>17</v>
      </c>
      <c r="B624" s="114"/>
      <c r="C624" s="114">
        <f>+H624</f>
        <v>16048</v>
      </c>
      <c r="D624" s="114">
        <f>+B624+C624</f>
        <v>16048</v>
      </c>
      <c r="E624" s="114">
        <v>16048</v>
      </c>
      <c r="F624" s="114"/>
      <c r="G624" s="114"/>
      <c r="H624" s="114">
        <f>SUM(E624:G624)</f>
        <v>16048</v>
      </c>
      <c r="I624" s="43">
        <v>16008</v>
      </c>
      <c r="J624" s="43"/>
      <c r="K624" s="43"/>
      <c r="L624" s="78">
        <f>SUM(I624:K624)</f>
        <v>16008</v>
      </c>
      <c r="M624" s="114">
        <f t="shared" si="377"/>
        <v>40</v>
      </c>
      <c r="N624" s="115">
        <f t="shared" si="377"/>
        <v>0</v>
      </c>
      <c r="O624" s="114">
        <f t="shared" si="377"/>
        <v>0</v>
      </c>
      <c r="P624" s="116">
        <f>SUM(M624:O624)</f>
        <v>40</v>
      </c>
      <c r="Q624" s="106"/>
    </row>
    <row r="625" spans="1:17" ht="12.75" customHeight="1">
      <c r="A625" s="113" t="s">
        <v>18</v>
      </c>
      <c r="B625" s="114">
        <v>10022</v>
      </c>
      <c r="C625" s="114"/>
      <c r="D625" s="114">
        <f>+B625+C625</f>
        <v>10022</v>
      </c>
      <c r="E625" s="114">
        <v>10731</v>
      </c>
      <c r="F625" s="114"/>
      <c r="G625" s="114"/>
      <c r="H625" s="114">
        <f>SUM(E625:G625)</f>
        <v>10731</v>
      </c>
      <c r="I625" s="43">
        <v>10435</v>
      </c>
      <c r="J625" s="43"/>
      <c r="K625" s="43"/>
      <c r="L625" s="78">
        <f>SUM(I625:K625)</f>
        <v>10435</v>
      </c>
      <c r="M625" s="114">
        <f t="shared" si="377"/>
        <v>296</v>
      </c>
      <c r="N625" s="115">
        <f t="shared" si="377"/>
        <v>0</v>
      </c>
      <c r="O625" s="114">
        <f t="shared" si="377"/>
        <v>0</v>
      </c>
      <c r="P625" s="116">
        <f>SUM(M625:O625)</f>
        <v>296</v>
      </c>
      <c r="Q625" s="106"/>
    </row>
    <row r="626" spans="1:17" ht="12.75" customHeight="1">
      <c r="A626" s="113" t="s">
        <v>19</v>
      </c>
      <c r="B626" s="102">
        <f>SUM(B627:B628)</f>
        <v>0</v>
      </c>
      <c r="C626" s="102">
        <f>SUM(C627:C628)</f>
        <v>0</v>
      </c>
      <c r="D626" s="102">
        <f>SUM(D627:D628)</f>
        <v>0</v>
      </c>
      <c r="E626" s="102">
        <f t="shared" ref="E626:P626" si="378">SUM(E627:E628)</f>
        <v>0</v>
      </c>
      <c r="F626" s="102">
        <f t="shared" si="378"/>
        <v>0</v>
      </c>
      <c r="G626" s="102">
        <f t="shared" si="378"/>
        <v>0</v>
      </c>
      <c r="H626" s="102">
        <f t="shared" si="378"/>
        <v>0</v>
      </c>
      <c r="I626" s="45">
        <f>SUM(I627:I628)</f>
        <v>0</v>
      </c>
      <c r="J626" s="45">
        <f>SUM(J627:J628)</f>
        <v>0</v>
      </c>
      <c r="K626" s="45">
        <f>SUM(K627:K628)</f>
        <v>0</v>
      </c>
      <c r="L626" s="103">
        <f>SUM(L627:L628)</f>
        <v>0</v>
      </c>
      <c r="M626" s="102">
        <f t="shared" si="378"/>
        <v>0</v>
      </c>
      <c r="N626" s="104">
        <f t="shared" si="378"/>
        <v>0</v>
      </c>
      <c r="O626" s="102">
        <f t="shared" si="378"/>
        <v>0</v>
      </c>
      <c r="P626" s="105">
        <f t="shared" si="378"/>
        <v>0</v>
      </c>
      <c r="Q626" s="106"/>
    </row>
    <row r="627" spans="1:17" ht="12.75" customHeight="1">
      <c r="A627" s="113" t="s">
        <v>20</v>
      </c>
      <c r="B627" s="114"/>
      <c r="C627" s="114"/>
      <c r="D627" s="114">
        <f>+B627+C627</f>
        <v>0</v>
      </c>
      <c r="E627" s="114"/>
      <c r="F627" s="114"/>
      <c r="G627" s="114"/>
      <c r="H627" s="114">
        <f>SUM(E627:G627)</f>
        <v>0</v>
      </c>
      <c r="I627" s="43"/>
      <c r="J627" s="43"/>
      <c r="K627" s="43"/>
      <c r="L627" s="78">
        <f>SUM(I627:K627)</f>
        <v>0</v>
      </c>
      <c r="M627" s="114">
        <f t="shared" ref="M627:O628" si="379">+E627-I627</f>
        <v>0</v>
      </c>
      <c r="N627" s="115">
        <f t="shared" si="379"/>
        <v>0</v>
      </c>
      <c r="O627" s="114">
        <f t="shared" si="379"/>
        <v>0</v>
      </c>
      <c r="P627" s="116">
        <f>SUM(M627:O627)</f>
        <v>0</v>
      </c>
      <c r="Q627" s="106"/>
    </row>
    <row r="628" spans="1:17" ht="12.75" customHeight="1">
      <c r="A628" s="113" t="s">
        <v>21</v>
      </c>
      <c r="B628" s="114"/>
      <c r="C628" s="114"/>
      <c r="D628" s="114">
        <f>+B628+C628</f>
        <v>0</v>
      </c>
      <c r="E628" s="114"/>
      <c r="F628" s="114"/>
      <c r="G628" s="114"/>
      <c r="H628" s="114">
        <f>SUM(E628:G628)</f>
        <v>0</v>
      </c>
      <c r="I628" s="43"/>
      <c r="J628" s="43"/>
      <c r="K628" s="43"/>
      <c r="L628" s="78">
        <f>SUM(I628:K628)</f>
        <v>0</v>
      </c>
      <c r="M628" s="114">
        <f t="shared" si="379"/>
        <v>0</v>
      </c>
      <c r="N628" s="115">
        <f t="shared" si="379"/>
        <v>0</v>
      </c>
      <c r="O628" s="114">
        <f t="shared" si="379"/>
        <v>0</v>
      </c>
      <c r="P628" s="116">
        <f>SUM(M628:O628)</f>
        <v>0</v>
      </c>
      <c r="Q628" s="106"/>
    </row>
    <row r="629" spans="1:17" ht="12.75" customHeight="1">
      <c r="A629" s="127"/>
      <c r="B629" s="137"/>
      <c r="C629" s="137"/>
      <c r="D629" s="137"/>
      <c r="E629" s="114"/>
      <c r="F629" s="114"/>
      <c r="G629" s="114"/>
      <c r="H629" s="114"/>
      <c r="I629" s="43"/>
      <c r="J629" s="43"/>
      <c r="K629" s="43"/>
      <c r="L629" s="78"/>
      <c r="M629" s="114"/>
      <c r="N629" s="115"/>
      <c r="O629" s="114"/>
      <c r="P629" s="116"/>
      <c r="Q629" s="106"/>
    </row>
    <row r="630" spans="1:17" ht="12.75" customHeight="1">
      <c r="A630" s="120" t="s">
        <v>290</v>
      </c>
      <c r="B630" s="102">
        <f>+B631+B635</f>
        <v>45525</v>
      </c>
      <c r="C630" s="102">
        <f>+C631+C635</f>
        <v>5100</v>
      </c>
      <c r="D630" s="102">
        <f>+D631+D635</f>
        <v>50625</v>
      </c>
      <c r="E630" s="102">
        <f t="shared" ref="E630:P630" si="380">+E631+E635</f>
        <v>34025</v>
      </c>
      <c r="F630" s="102">
        <f t="shared" si="380"/>
        <v>15201</v>
      </c>
      <c r="G630" s="102">
        <f t="shared" si="380"/>
        <v>1523</v>
      </c>
      <c r="H630" s="102">
        <f t="shared" si="380"/>
        <v>50749</v>
      </c>
      <c r="I630" s="45">
        <f t="shared" si="380"/>
        <v>33988</v>
      </c>
      <c r="J630" s="45">
        <f t="shared" si="380"/>
        <v>13800</v>
      </c>
      <c r="K630" s="45">
        <f t="shared" si="380"/>
        <v>0</v>
      </c>
      <c r="L630" s="103">
        <f t="shared" si="380"/>
        <v>47788</v>
      </c>
      <c r="M630" s="102">
        <f t="shared" si="380"/>
        <v>37</v>
      </c>
      <c r="N630" s="104">
        <f t="shared" si="380"/>
        <v>1401</v>
      </c>
      <c r="O630" s="102">
        <f t="shared" si="380"/>
        <v>1523</v>
      </c>
      <c r="P630" s="105">
        <f t="shared" si="380"/>
        <v>2961</v>
      </c>
      <c r="Q630" s="106">
        <f>+L630/H630</f>
        <v>0.94165402273936427</v>
      </c>
    </row>
    <row r="631" spans="1:17" ht="12.75" customHeight="1">
      <c r="A631" s="127" t="s">
        <v>15</v>
      </c>
      <c r="B631" s="108">
        <f>SUM(B632:B634)</f>
        <v>45525</v>
      </c>
      <c r="C631" s="108">
        <f>SUM(C632:C634)</f>
        <v>5100</v>
      </c>
      <c r="D631" s="108">
        <f>SUM(D632:D634)</f>
        <v>50625</v>
      </c>
      <c r="E631" s="108">
        <f t="shared" ref="E631:P631" si="381">SUM(E632:E634)</f>
        <v>34025</v>
      </c>
      <c r="F631" s="108">
        <f t="shared" si="381"/>
        <v>15201</v>
      </c>
      <c r="G631" s="108">
        <f t="shared" si="381"/>
        <v>1523</v>
      </c>
      <c r="H631" s="108">
        <f t="shared" si="381"/>
        <v>50749</v>
      </c>
      <c r="I631" s="109">
        <f>SUM(I632:I634)</f>
        <v>33988</v>
      </c>
      <c r="J631" s="109">
        <f>SUM(J632:J634)</f>
        <v>13800</v>
      </c>
      <c r="K631" s="109">
        <f>SUM(K632:K634)</f>
        <v>0</v>
      </c>
      <c r="L631" s="110">
        <f>SUM(L632:L634)</f>
        <v>47788</v>
      </c>
      <c r="M631" s="108">
        <f t="shared" si="381"/>
        <v>37</v>
      </c>
      <c r="N631" s="111">
        <f t="shared" si="381"/>
        <v>1401</v>
      </c>
      <c r="O631" s="108">
        <f t="shared" si="381"/>
        <v>1523</v>
      </c>
      <c r="P631" s="112">
        <f t="shared" si="381"/>
        <v>2961</v>
      </c>
      <c r="Q631" s="106"/>
    </row>
    <row r="632" spans="1:17" ht="12.75" customHeight="1">
      <c r="A632" s="113" t="s">
        <v>16</v>
      </c>
      <c r="B632" s="114">
        <v>42974</v>
      </c>
      <c r="C632" s="114"/>
      <c r="D632" s="114">
        <f>+B632+C632</f>
        <v>42974</v>
      </c>
      <c r="E632" s="114">
        <v>27773</v>
      </c>
      <c r="F632" s="114">
        <v>15201</v>
      </c>
      <c r="G632" s="114"/>
      <c r="H632" s="114">
        <f>SUM(E632:G632)</f>
        <v>42974</v>
      </c>
      <c r="I632" s="43">
        <v>27773</v>
      </c>
      <c r="J632" s="43">
        <v>13800</v>
      </c>
      <c r="K632" s="43"/>
      <c r="L632" s="78">
        <f>SUM(I632:K632)</f>
        <v>41573</v>
      </c>
      <c r="M632" s="114">
        <f t="shared" ref="M632:O634" si="382">+E632-I632</f>
        <v>0</v>
      </c>
      <c r="N632" s="115">
        <f t="shared" si="382"/>
        <v>1401</v>
      </c>
      <c r="O632" s="114">
        <f t="shared" si="382"/>
        <v>0</v>
      </c>
      <c r="P632" s="116">
        <f>SUM(M632:O632)</f>
        <v>1401</v>
      </c>
      <c r="Q632" s="106"/>
    </row>
    <row r="633" spans="1:17" ht="12.75" customHeight="1">
      <c r="A633" s="113" t="s">
        <v>17</v>
      </c>
      <c r="B633" s="114"/>
      <c r="C633" s="114">
        <f>+H633</f>
        <v>5100</v>
      </c>
      <c r="D633" s="114">
        <f>+B633+C633</f>
        <v>5100</v>
      </c>
      <c r="E633" s="114">
        <v>3577</v>
      </c>
      <c r="F633" s="114"/>
      <c r="G633" s="114">
        <v>1523</v>
      </c>
      <c r="H633" s="114">
        <f>SUM(E633:G633)</f>
        <v>5100</v>
      </c>
      <c r="I633" s="43">
        <v>3564</v>
      </c>
      <c r="J633" s="43"/>
      <c r="K633" s="43"/>
      <c r="L633" s="78">
        <f>SUM(I633:K633)</f>
        <v>3564</v>
      </c>
      <c r="M633" s="114">
        <f t="shared" si="382"/>
        <v>13</v>
      </c>
      <c r="N633" s="115">
        <f t="shared" si="382"/>
        <v>0</v>
      </c>
      <c r="O633" s="114">
        <f t="shared" si="382"/>
        <v>1523</v>
      </c>
      <c r="P633" s="116">
        <f>SUM(M633:O633)</f>
        <v>1536</v>
      </c>
      <c r="Q633" s="106"/>
    </row>
    <row r="634" spans="1:17" ht="12.75" customHeight="1">
      <c r="A634" s="113" t="s">
        <v>18</v>
      </c>
      <c r="B634" s="114">
        <v>2551</v>
      </c>
      <c r="C634" s="114"/>
      <c r="D634" s="114">
        <f>+B634+C634</f>
        <v>2551</v>
      </c>
      <c r="E634" s="114">
        <v>2675</v>
      </c>
      <c r="F634" s="114"/>
      <c r="G634" s="114"/>
      <c r="H634" s="114">
        <f>SUM(E634:G634)</f>
        <v>2675</v>
      </c>
      <c r="I634" s="43">
        <v>2651</v>
      </c>
      <c r="J634" s="43"/>
      <c r="K634" s="43"/>
      <c r="L634" s="78">
        <f>SUM(I634:K634)</f>
        <v>2651</v>
      </c>
      <c r="M634" s="114">
        <f t="shared" si="382"/>
        <v>24</v>
      </c>
      <c r="N634" s="115">
        <f t="shared" si="382"/>
        <v>0</v>
      </c>
      <c r="O634" s="114">
        <f t="shared" si="382"/>
        <v>0</v>
      </c>
      <c r="P634" s="116">
        <f>SUM(M634:O634)</f>
        <v>24</v>
      </c>
      <c r="Q634" s="106"/>
    </row>
    <row r="635" spans="1:17" ht="12.75" customHeight="1">
      <c r="A635" s="113" t="s">
        <v>19</v>
      </c>
      <c r="B635" s="102">
        <f>SUM(B636:B637)</f>
        <v>0</v>
      </c>
      <c r="C635" s="102">
        <f>SUM(C636:C637)</f>
        <v>0</v>
      </c>
      <c r="D635" s="102">
        <f>SUM(D636:D637)</f>
        <v>0</v>
      </c>
      <c r="E635" s="102">
        <f t="shared" ref="E635:P635" si="383">SUM(E636:E637)</f>
        <v>0</v>
      </c>
      <c r="F635" s="102">
        <f t="shared" si="383"/>
        <v>0</v>
      </c>
      <c r="G635" s="102">
        <f t="shared" si="383"/>
        <v>0</v>
      </c>
      <c r="H635" s="102">
        <f t="shared" si="383"/>
        <v>0</v>
      </c>
      <c r="I635" s="45">
        <f>SUM(I636:I637)</f>
        <v>0</v>
      </c>
      <c r="J635" s="45">
        <f>SUM(J636:J637)</f>
        <v>0</v>
      </c>
      <c r="K635" s="45">
        <f>SUM(K636:K637)</f>
        <v>0</v>
      </c>
      <c r="L635" s="103">
        <f>SUM(L636:L637)</f>
        <v>0</v>
      </c>
      <c r="M635" s="102">
        <f t="shared" si="383"/>
        <v>0</v>
      </c>
      <c r="N635" s="104">
        <f t="shared" si="383"/>
        <v>0</v>
      </c>
      <c r="O635" s="102">
        <f t="shared" si="383"/>
        <v>0</v>
      </c>
      <c r="P635" s="105">
        <f t="shared" si="383"/>
        <v>0</v>
      </c>
      <c r="Q635" s="106"/>
    </row>
    <row r="636" spans="1:17" ht="12.75" customHeight="1">
      <c r="A636" s="113" t="s">
        <v>20</v>
      </c>
      <c r="B636" s="114"/>
      <c r="C636" s="114"/>
      <c r="D636" s="114">
        <f>+B636+C636</f>
        <v>0</v>
      </c>
      <c r="E636" s="114"/>
      <c r="F636" s="114"/>
      <c r="G636" s="114"/>
      <c r="H636" s="114">
        <f>SUM(E636:G636)</f>
        <v>0</v>
      </c>
      <c r="I636" s="43"/>
      <c r="J636" s="43"/>
      <c r="K636" s="43"/>
      <c r="L636" s="78">
        <f>SUM(I636:K636)</f>
        <v>0</v>
      </c>
      <c r="M636" s="114">
        <f t="shared" ref="M636:O637" si="384">+E636-I636</f>
        <v>0</v>
      </c>
      <c r="N636" s="115">
        <f t="shared" si="384"/>
        <v>0</v>
      </c>
      <c r="O636" s="114">
        <f t="shared" si="384"/>
        <v>0</v>
      </c>
      <c r="P636" s="116">
        <f>SUM(M636:O636)</f>
        <v>0</v>
      </c>
      <c r="Q636" s="106"/>
    </row>
    <row r="637" spans="1:17" ht="12.75" customHeight="1">
      <c r="A637" s="113" t="s">
        <v>21</v>
      </c>
      <c r="B637" s="114"/>
      <c r="C637" s="114"/>
      <c r="D637" s="114">
        <f>+B637+C637</f>
        <v>0</v>
      </c>
      <c r="E637" s="114"/>
      <c r="F637" s="114"/>
      <c r="G637" s="114"/>
      <c r="H637" s="114">
        <f>SUM(E637:G637)</f>
        <v>0</v>
      </c>
      <c r="I637" s="43"/>
      <c r="J637" s="43"/>
      <c r="K637" s="43"/>
      <c r="L637" s="78">
        <f>SUM(I637:K637)</f>
        <v>0</v>
      </c>
      <c r="M637" s="114">
        <f t="shared" si="384"/>
        <v>0</v>
      </c>
      <c r="N637" s="115">
        <f t="shared" si="384"/>
        <v>0</v>
      </c>
      <c r="O637" s="114">
        <f t="shared" si="384"/>
        <v>0</v>
      </c>
      <c r="P637" s="116">
        <f>SUM(M637:O637)</f>
        <v>0</v>
      </c>
      <c r="Q637" s="106"/>
    </row>
    <row r="638" spans="1:17" ht="12.75" customHeight="1">
      <c r="A638" s="229"/>
      <c r="B638" s="230"/>
      <c r="C638" s="230"/>
      <c r="D638" s="230"/>
      <c r="E638" s="102"/>
      <c r="F638" s="102"/>
      <c r="G638" s="102"/>
      <c r="H638" s="102"/>
      <c r="I638" s="45"/>
      <c r="J638" s="45"/>
      <c r="K638" s="45"/>
      <c r="L638" s="103"/>
      <c r="M638" s="102"/>
      <c r="N638" s="104"/>
      <c r="O638" s="102"/>
      <c r="P638" s="105"/>
      <c r="Q638" s="227"/>
    </row>
    <row r="639" spans="1:17" ht="32.25" customHeight="1">
      <c r="A639" s="151" t="s">
        <v>291</v>
      </c>
      <c r="B639" s="102">
        <f>+B640+B644</f>
        <v>147604</v>
      </c>
      <c r="C639" s="102">
        <f>+C640+C644</f>
        <v>40707</v>
      </c>
      <c r="D639" s="102">
        <f>+D640+D644</f>
        <v>188311</v>
      </c>
      <c r="E639" s="102">
        <f t="shared" ref="E639:P639" si="385">+E640+E644</f>
        <v>148446</v>
      </c>
      <c r="F639" s="102">
        <f t="shared" si="385"/>
        <v>24877</v>
      </c>
      <c r="G639" s="102">
        <f t="shared" si="385"/>
        <v>16727</v>
      </c>
      <c r="H639" s="102">
        <f t="shared" si="385"/>
        <v>190050</v>
      </c>
      <c r="I639" s="45">
        <f t="shared" si="385"/>
        <v>144742</v>
      </c>
      <c r="J639" s="45">
        <f t="shared" si="385"/>
        <v>24877</v>
      </c>
      <c r="K639" s="45">
        <f t="shared" si="385"/>
        <v>49</v>
      </c>
      <c r="L639" s="103">
        <f t="shared" si="385"/>
        <v>169668</v>
      </c>
      <c r="M639" s="102">
        <f t="shared" si="385"/>
        <v>3704</v>
      </c>
      <c r="N639" s="104">
        <f t="shared" si="385"/>
        <v>0</v>
      </c>
      <c r="O639" s="102">
        <f t="shared" si="385"/>
        <v>16678</v>
      </c>
      <c r="P639" s="105">
        <f t="shared" si="385"/>
        <v>20382</v>
      </c>
      <c r="Q639" s="106">
        <f>+L639/H639</f>
        <v>0.89275453827940021</v>
      </c>
    </row>
    <row r="640" spans="1:17" ht="12.75" customHeight="1">
      <c r="A640" s="127" t="s">
        <v>15</v>
      </c>
      <c r="B640" s="108">
        <f>SUM(B641:B643)</f>
        <v>147604</v>
      </c>
      <c r="C640" s="108">
        <f>SUM(C641:C643)</f>
        <v>40707</v>
      </c>
      <c r="D640" s="108">
        <f>SUM(D641:D643)</f>
        <v>188311</v>
      </c>
      <c r="E640" s="108">
        <f t="shared" ref="E640:P640" si="386">SUM(E641:E643)</f>
        <v>148446</v>
      </c>
      <c r="F640" s="108">
        <f t="shared" si="386"/>
        <v>24877</v>
      </c>
      <c r="G640" s="108">
        <f t="shared" si="386"/>
        <v>16727</v>
      </c>
      <c r="H640" s="108">
        <f t="shared" si="386"/>
        <v>190050</v>
      </c>
      <c r="I640" s="109">
        <f>SUM(I641:I643)</f>
        <v>144742</v>
      </c>
      <c r="J640" s="109">
        <f>SUM(J641:J643)</f>
        <v>24877</v>
      </c>
      <c r="K640" s="109">
        <f>SUM(K641:K643)</f>
        <v>49</v>
      </c>
      <c r="L640" s="110">
        <f>SUM(L641:L643)</f>
        <v>169668</v>
      </c>
      <c r="M640" s="108">
        <f t="shared" si="386"/>
        <v>3704</v>
      </c>
      <c r="N640" s="111">
        <f t="shared" si="386"/>
        <v>0</v>
      </c>
      <c r="O640" s="108">
        <f t="shared" si="386"/>
        <v>16678</v>
      </c>
      <c r="P640" s="112">
        <f t="shared" si="386"/>
        <v>20382</v>
      </c>
      <c r="Q640" s="106"/>
    </row>
    <row r="641" spans="1:17" ht="12.75" customHeight="1">
      <c r="A641" s="113" t="s">
        <v>16</v>
      </c>
      <c r="B641" s="114">
        <v>137029</v>
      </c>
      <c r="C641" s="114"/>
      <c r="D641" s="114">
        <f>+B641+C641</f>
        <v>137029</v>
      </c>
      <c r="E641" s="114">
        <v>112152</v>
      </c>
      <c r="F641" s="114">
        <v>24877</v>
      </c>
      <c r="G641" s="114"/>
      <c r="H641" s="114">
        <f>SUM(E641:G641)</f>
        <v>137029</v>
      </c>
      <c r="I641" s="43">
        <f>103695+6528</f>
        <v>110223</v>
      </c>
      <c r="J641" s="43">
        <f>31405-6528</f>
        <v>24877</v>
      </c>
      <c r="K641" s="43"/>
      <c r="L641" s="78">
        <f>SUM(I641:K641)</f>
        <v>135100</v>
      </c>
      <c r="M641" s="114">
        <f t="shared" ref="M641:O643" si="387">+E641-I641</f>
        <v>1929</v>
      </c>
      <c r="N641" s="115">
        <f t="shared" si="387"/>
        <v>0</v>
      </c>
      <c r="O641" s="114">
        <f t="shared" si="387"/>
        <v>0</v>
      </c>
      <c r="P641" s="116">
        <f>SUM(M641:O641)</f>
        <v>1929</v>
      </c>
      <c r="Q641" s="106"/>
    </row>
    <row r="642" spans="1:17" ht="12.75" customHeight="1">
      <c r="A642" s="113" t="s">
        <v>17</v>
      </c>
      <c r="B642" s="114"/>
      <c r="C642" s="114">
        <f>+H642</f>
        <v>40707</v>
      </c>
      <c r="D642" s="114">
        <f>+B642+C642</f>
        <v>40707</v>
      </c>
      <c r="E642" s="114">
        <v>23980</v>
      </c>
      <c r="F642" s="114"/>
      <c r="G642" s="114">
        <v>16727</v>
      </c>
      <c r="H642" s="114">
        <f>SUM(E642:G642)</f>
        <v>40707</v>
      </c>
      <c r="I642" s="43">
        <v>23507</v>
      </c>
      <c r="J642" s="43"/>
      <c r="K642" s="43">
        <v>49</v>
      </c>
      <c r="L642" s="78">
        <f>SUM(I642:K642)</f>
        <v>23556</v>
      </c>
      <c r="M642" s="114">
        <f t="shared" si="387"/>
        <v>473</v>
      </c>
      <c r="N642" s="115">
        <f t="shared" si="387"/>
        <v>0</v>
      </c>
      <c r="O642" s="114">
        <f t="shared" si="387"/>
        <v>16678</v>
      </c>
      <c r="P642" s="116">
        <f>SUM(M642:O642)</f>
        <v>17151</v>
      </c>
      <c r="Q642" s="106"/>
    </row>
    <row r="643" spans="1:17" ht="12.75" customHeight="1">
      <c r="A643" s="113" t="s">
        <v>18</v>
      </c>
      <c r="B643" s="114">
        <v>10575</v>
      </c>
      <c r="C643" s="114"/>
      <c r="D643" s="114">
        <f>+B643+C643</f>
        <v>10575</v>
      </c>
      <c r="E643" s="114">
        <v>12314</v>
      </c>
      <c r="F643" s="114"/>
      <c r="G643" s="114"/>
      <c r="H643" s="114">
        <f>SUM(E643:G643)</f>
        <v>12314</v>
      </c>
      <c r="I643" s="43">
        <v>11012</v>
      </c>
      <c r="J643" s="43"/>
      <c r="K643" s="43"/>
      <c r="L643" s="78">
        <f>SUM(I643:K643)</f>
        <v>11012</v>
      </c>
      <c r="M643" s="114">
        <f t="shared" si="387"/>
        <v>1302</v>
      </c>
      <c r="N643" s="115">
        <f t="shared" si="387"/>
        <v>0</v>
      </c>
      <c r="O643" s="114">
        <f t="shared" si="387"/>
        <v>0</v>
      </c>
      <c r="P643" s="116">
        <f>SUM(M643:O643)</f>
        <v>1302</v>
      </c>
      <c r="Q643" s="106"/>
    </row>
    <row r="644" spans="1:17" ht="12.75" customHeight="1">
      <c r="A644" s="113" t="s">
        <v>19</v>
      </c>
      <c r="B644" s="102">
        <f>SUM(B645:B646)</f>
        <v>0</v>
      </c>
      <c r="C644" s="102">
        <f>SUM(C645:C646)</f>
        <v>0</v>
      </c>
      <c r="D644" s="102">
        <f>SUM(D645:D646)</f>
        <v>0</v>
      </c>
      <c r="E644" s="102">
        <f t="shared" ref="E644:P644" si="388">SUM(E645:E646)</f>
        <v>0</v>
      </c>
      <c r="F644" s="102">
        <f t="shared" si="388"/>
        <v>0</v>
      </c>
      <c r="G644" s="102">
        <f t="shared" si="388"/>
        <v>0</v>
      </c>
      <c r="H644" s="102">
        <f t="shared" si="388"/>
        <v>0</v>
      </c>
      <c r="I644" s="45">
        <f>SUM(I645:I646)</f>
        <v>0</v>
      </c>
      <c r="J644" s="45">
        <f>SUM(J645:J646)</f>
        <v>0</v>
      </c>
      <c r="K644" s="45">
        <f>SUM(K645:K646)</f>
        <v>0</v>
      </c>
      <c r="L644" s="103">
        <f>SUM(L645:L646)</f>
        <v>0</v>
      </c>
      <c r="M644" s="102">
        <f t="shared" si="388"/>
        <v>0</v>
      </c>
      <c r="N644" s="104">
        <f t="shared" si="388"/>
        <v>0</v>
      </c>
      <c r="O644" s="102">
        <f t="shared" si="388"/>
        <v>0</v>
      </c>
      <c r="P644" s="105">
        <f t="shared" si="388"/>
        <v>0</v>
      </c>
      <c r="Q644" s="106"/>
    </row>
    <row r="645" spans="1:17" ht="12.75" customHeight="1">
      <c r="A645" s="113" t="s">
        <v>20</v>
      </c>
      <c r="B645" s="114"/>
      <c r="C645" s="114"/>
      <c r="D645" s="114">
        <f>+B645+C645</f>
        <v>0</v>
      </c>
      <c r="E645" s="114"/>
      <c r="F645" s="114"/>
      <c r="G645" s="114"/>
      <c r="H645" s="114">
        <f>SUM(E645:G645)</f>
        <v>0</v>
      </c>
      <c r="I645" s="43"/>
      <c r="J645" s="43"/>
      <c r="K645" s="43"/>
      <c r="L645" s="78">
        <f>SUM(I645:K645)</f>
        <v>0</v>
      </c>
      <c r="M645" s="114">
        <f t="shared" ref="M645:O646" si="389">+E645-I645</f>
        <v>0</v>
      </c>
      <c r="N645" s="115">
        <f t="shared" si="389"/>
        <v>0</v>
      </c>
      <c r="O645" s="114">
        <f t="shared" si="389"/>
        <v>0</v>
      </c>
      <c r="P645" s="116">
        <f>SUM(M645:O645)</f>
        <v>0</v>
      </c>
      <c r="Q645" s="106"/>
    </row>
    <row r="646" spans="1:17" ht="12.75" customHeight="1">
      <c r="A646" s="113" t="s">
        <v>21</v>
      </c>
      <c r="B646" s="114"/>
      <c r="C646" s="114">
        <f>+H646</f>
        <v>0</v>
      </c>
      <c r="D646" s="114">
        <f>+B646+C646</f>
        <v>0</v>
      </c>
      <c r="E646" s="114"/>
      <c r="F646" s="114"/>
      <c r="G646" s="114"/>
      <c r="H646" s="114">
        <f>SUM(E646:G646)</f>
        <v>0</v>
      </c>
      <c r="I646" s="43"/>
      <c r="J646" s="43"/>
      <c r="K646" s="43"/>
      <c r="L646" s="78">
        <f>SUM(I646:K646)</f>
        <v>0</v>
      </c>
      <c r="M646" s="114">
        <f t="shared" si="389"/>
        <v>0</v>
      </c>
      <c r="N646" s="115">
        <f t="shared" si="389"/>
        <v>0</v>
      </c>
      <c r="O646" s="114">
        <f t="shared" si="389"/>
        <v>0</v>
      </c>
      <c r="P646" s="116">
        <f>SUM(M646:O646)</f>
        <v>0</v>
      </c>
      <c r="Q646" s="106"/>
    </row>
    <row r="647" spans="1:17" ht="12.75" customHeight="1">
      <c r="A647" s="121"/>
      <c r="B647" s="122"/>
      <c r="C647" s="122"/>
      <c r="D647" s="122"/>
      <c r="E647" s="114"/>
      <c r="F647" s="114"/>
      <c r="G647" s="114"/>
      <c r="H647" s="114"/>
      <c r="I647" s="43"/>
      <c r="J647" s="43"/>
      <c r="K647" s="43"/>
      <c r="L647" s="78"/>
      <c r="M647" s="114"/>
      <c r="N647" s="115"/>
      <c r="O647" s="114"/>
      <c r="P647" s="116"/>
      <c r="Q647" s="106"/>
    </row>
    <row r="648" spans="1:17" ht="12.75" customHeight="1">
      <c r="A648" s="120" t="s">
        <v>292</v>
      </c>
      <c r="B648" s="102">
        <f>+B649+B653</f>
        <v>67636</v>
      </c>
      <c r="C648" s="102">
        <f>+C649+C653</f>
        <v>1518</v>
      </c>
      <c r="D648" s="102">
        <f>+D649+D653</f>
        <v>69154</v>
      </c>
      <c r="E648" s="102">
        <f t="shared" ref="E648:P648" si="390">+E649+E653</f>
        <v>42289</v>
      </c>
      <c r="F648" s="102">
        <f t="shared" si="390"/>
        <v>26865</v>
      </c>
      <c r="G648" s="102">
        <f t="shared" si="390"/>
        <v>0</v>
      </c>
      <c r="H648" s="102">
        <f t="shared" si="390"/>
        <v>69154</v>
      </c>
      <c r="I648" s="45">
        <f t="shared" si="390"/>
        <v>42208</v>
      </c>
      <c r="J648" s="45">
        <f t="shared" si="390"/>
        <v>25070</v>
      </c>
      <c r="K648" s="45">
        <f t="shared" si="390"/>
        <v>0</v>
      </c>
      <c r="L648" s="103">
        <f t="shared" si="390"/>
        <v>67278</v>
      </c>
      <c r="M648" s="102">
        <f t="shared" si="390"/>
        <v>81</v>
      </c>
      <c r="N648" s="104">
        <f t="shared" si="390"/>
        <v>1795</v>
      </c>
      <c r="O648" s="102">
        <f t="shared" si="390"/>
        <v>0</v>
      </c>
      <c r="P648" s="105">
        <f t="shared" si="390"/>
        <v>1876</v>
      </c>
      <c r="Q648" s="106">
        <f>+L648/H648</f>
        <v>0.972872140440177</v>
      </c>
    </row>
    <row r="649" spans="1:17" ht="12.75" customHeight="1">
      <c r="A649" s="127" t="s">
        <v>15</v>
      </c>
      <c r="B649" s="108">
        <f>SUM(B650:B652)</f>
        <v>67636</v>
      </c>
      <c r="C649" s="108">
        <f>SUM(C650:C652)</f>
        <v>1518</v>
      </c>
      <c r="D649" s="108">
        <f>SUM(D650:D652)</f>
        <v>69154</v>
      </c>
      <c r="E649" s="108">
        <f t="shared" ref="E649:P649" si="391">SUM(E650:E652)</f>
        <v>42289</v>
      </c>
      <c r="F649" s="108">
        <f t="shared" si="391"/>
        <v>26865</v>
      </c>
      <c r="G649" s="108">
        <f t="shared" si="391"/>
        <v>0</v>
      </c>
      <c r="H649" s="108">
        <f t="shared" si="391"/>
        <v>69154</v>
      </c>
      <c r="I649" s="109">
        <f>SUM(I650:I652)</f>
        <v>42208</v>
      </c>
      <c r="J649" s="109">
        <f>SUM(J650:J652)</f>
        <v>25070</v>
      </c>
      <c r="K649" s="109">
        <f>SUM(K650:K652)</f>
        <v>0</v>
      </c>
      <c r="L649" s="110">
        <f>SUM(L650:L652)</f>
        <v>67278</v>
      </c>
      <c r="M649" s="108">
        <f t="shared" si="391"/>
        <v>81</v>
      </c>
      <c r="N649" s="111">
        <f t="shared" si="391"/>
        <v>1795</v>
      </c>
      <c r="O649" s="108">
        <f t="shared" si="391"/>
        <v>0</v>
      </c>
      <c r="P649" s="112">
        <f t="shared" si="391"/>
        <v>1876</v>
      </c>
      <c r="Q649" s="106"/>
    </row>
    <row r="650" spans="1:17" ht="12.75" customHeight="1">
      <c r="A650" s="113" t="s">
        <v>16</v>
      </c>
      <c r="B650" s="114">
        <v>64094</v>
      </c>
      <c r="C650" s="114"/>
      <c r="D650" s="114">
        <f>+B650+C650</f>
        <v>64094</v>
      </c>
      <c r="E650" s="114">
        <v>37229</v>
      </c>
      <c r="F650" s="114">
        <v>26865</v>
      </c>
      <c r="G650" s="114"/>
      <c r="H650" s="114">
        <f>SUM(E650:G650)</f>
        <v>64094</v>
      </c>
      <c r="I650" s="43">
        <v>37229</v>
      </c>
      <c r="J650" s="43">
        <v>25070</v>
      </c>
      <c r="K650" s="43"/>
      <c r="L650" s="78">
        <f>SUM(I650:K650)</f>
        <v>62299</v>
      </c>
      <c r="M650" s="114">
        <f t="shared" ref="M650:O652" si="392">+E650-I650</f>
        <v>0</v>
      </c>
      <c r="N650" s="115">
        <f t="shared" si="392"/>
        <v>1795</v>
      </c>
      <c r="O650" s="114">
        <f t="shared" si="392"/>
        <v>0</v>
      </c>
      <c r="P650" s="116">
        <f>SUM(M650:O650)</f>
        <v>1795</v>
      </c>
      <c r="Q650" s="106"/>
    </row>
    <row r="651" spans="1:17" ht="12.75" customHeight="1">
      <c r="A651" s="113" t="s">
        <v>17</v>
      </c>
      <c r="B651" s="114"/>
      <c r="C651" s="114">
        <f>+H651</f>
        <v>1518</v>
      </c>
      <c r="D651" s="114">
        <f>+B651+C651</f>
        <v>1518</v>
      </c>
      <c r="E651" s="114">
        <v>1518</v>
      </c>
      <c r="F651" s="114"/>
      <c r="G651" s="114"/>
      <c r="H651" s="114">
        <f>SUM(E651:G651)</f>
        <v>1518</v>
      </c>
      <c r="I651" s="43">
        <v>1518</v>
      </c>
      <c r="J651" s="43"/>
      <c r="K651" s="43"/>
      <c r="L651" s="78">
        <f>SUM(I651:K651)</f>
        <v>1518</v>
      </c>
      <c r="M651" s="114">
        <f t="shared" si="392"/>
        <v>0</v>
      </c>
      <c r="N651" s="115">
        <f t="shared" si="392"/>
        <v>0</v>
      </c>
      <c r="O651" s="114">
        <f t="shared" si="392"/>
        <v>0</v>
      </c>
      <c r="P651" s="116">
        <f>SUM(M651:O651)</f>
        <v>0</v>
      </c>
      <c r="Q651" s="106"/>
    </row>
    <row r="652" spans="1:17" ht="12.75" customHeight="1">
      <c r="A652" s="113" t="s">
        <v>18</v>
      </c>
      <c r="B652" s="114">
        <v>3542</v>
      </c>
      <c r="C652" s="114"/>
      <c r="D652" s="114">
        <f>+B652+C652</f>
        <v>3542</v>
      </c>
      <c r="E652" s="114">
        <v>3542</v>
      </c>
      <c r="F652" s="114"/>
      <c r="G652" s="114"/>
      <c r="H652" s="114">
        <f>SUM(E652:G652)</f>
        <v>3542</v>
      </c>
      <c r="I652" s="43">
        <v>3461</v>
      </c>
      <c r="J652" s="43"/>
      <c r="K652" s="43"/>
      <c r="L652" s="78">
        <f>SUM(I652:K652)</f>
        <v>3461</v>
      </c>
      <c r="M652" s="114">
        <f t="shared" si="392"/>
        <v>81</v>
      </c>
      <c r="N652" s="115">
        <f t="shared" si="392"/>
        <v>0</v>
      </c>
      <c r="O652" s="114">
        <f t="shared" si="392"/>
        <v>0</v>
      </c>
      <c r="P652" s="116">
        <f>SUM(M652:O652)</f>
        <v>81</v>
      </c>
      <c r="Q652" s="106"/>
    </row>
    <row r="653" spans="1:17" ht="12.75" customHeight="1">
      <c r="A653" s="113" t="s">
        <v>19</v>
      </c>
      <c r="B653" s="102">
        <f>SUM(B654:B655)</f>
        <v>0</v>
      </c>
      <c r="C653" s="102">
        <f>SUM(C654:C655)</f>
        <v>0</v>
      </c>
      <c r="D653" s="102">
        <f>SUM(D654:D655)</f>
        <v>0</v>
      </c>
      <c r="E653" s="102">
        <f t="shared" ref="E653:P653" si="393">SUM(E654:E655)</f>
        <v>0</v>
      </c>
      <c r="F653" s="102">
        <f t="shared" si="393"/>
        <v>0</v>
      </c>
      <c r="G653" s="102">
        <f t="shared" si="393"/>
        <v>0</v>
      </c>
      <c r="H653" s="102">
        <f t="shared" si="393"/>
        <v>0</v>
      </c>
      <c r="I653" s="45">
        <f>SUM(I654:I655)</f>
        <v>0</v>
      </c>
      <c r="J653" s="45">
        <f>SUM(J654:J655)</f>
        <v>0</v>
      </c>
      <c r="K653" s="45">
        <f>SUM(K654:K655)</f>
        <v>0</v>
      </c>
      <c r="L653" s="103">
        <f>SUM(L654:L655)</f>
        <v>0</v>
      </c>
      <c r="M653" s="102">
        <f t="shared" si="393"/>
        <v>0</v>
      </c>
      <c r="N653" s="104">
        <f t="shared" si="393"/>
        <v>0</v>
      </c>
      <c r="O653" s="102">
        <f t="shared" si="393"/>
        <v>0</v>
      </c>
      <c r="P653" s="105">
        <f t="shared" si="393"/>
        <v>0</v>
      </c>
      <c r="Q653" s="106"/>
    </row>
    <row r="654" spans="1:17" ht="12.75" customHeight="1">
      <c r="A654" s="113" t="s">
        <v>20</v>
      </c>
      <c r="B654" s="114"/>
      <c r="C654" s="114">
        <f>+H654</f>
        <v>0</v>
      </c>
      <c r="D654" s="114">
        <f>+B654+C654</f>
        <v>0</v>
      </c>
      <c r="E654" s="114"/>
      <c r="F654" s="114"/>
      <c r="G654" s="114"/>
      <c r="H654" s="114">
        <f>SUM(E654:G654)</f>
        <v>0</v>
      </c>
      <c r="I654" s="43"/>
      <c r="J654" s="43"/>
      <c r="K654" s="43"/>
      <c r="L654" s="78">
        <f>SUM(I654:K654)</f>
        <v>0</v>
      </c>
      <c r="M654" s="114">
        <f t="shared" ref="M654:O655" si="394">+E654-I654</f>
        <v>0</v>
      </c>
      <c r="N654" s="115">
        <f t="shared" si="394"/>
        <v>0</v>
      </c>
      <c r="O654" s="114">
        <f t="shared" si="394"/>
        <v>0</v>
      </c>
      <c r="P654" s="116">
        <f>SUM(M654:O654)</f>
        <v>0</v>
      </c>
      <c r="Q654" s="106"/>
    </row>
    <row r="655" spans="1:17" ht="12.75" customHeight="1">
      <c r="A655" s="113" t="s">
        <v>21</v>
      </c>
      <c r="B655" s="114"/>
      <c r="C655" s="114">
        <f>+H655</f>
        <v>0</v>
      </c>
      <c r="D655" s="114">
        <f>+B655+C655</f>
        <v>0</v>
      </c>
      <c r="E655" s="114"/>
      <c r="F655" s="114"/>
      <c r="G655" s="114"/>
      <c r="H655" s="114">
        <f>SUM(E655:G655)</f>
        <v>0</v>
      </c>
      <c r="I655" s="43"/>
      <c r="J655" s="43"/>
      <c r="K655" s="43"/>
      <c r="L655" s="78">
        <f>SUM(I655:K655)</f>
        <v>0</v>
      </c>
      <c r="M655" s="114">
        <f t="shared" si="394"/>
        <v>0</v>
      </c>
      <c r="N655" s="115">
        <f t="shared" si="394"/>
        <v>0</v>
      </c>
      <c r="O655" s="114">
        <f t="shared" si="394"/>
        <v>0</v>
      </c>
      <c r="P655" s="116">
        <f>SUM(M655:O655)</f>
        <v>0</v>
      </c>
      <c r="Q655" s="106"/>
    </row>
    <row r="656" spans="1:17" ht="12.75" customHeight="1">
      <c r="A656" s="121"/>
      <c r="B656" s="122"/>
      <c r="C656" s="122"/>
      <c r="D656" s="122"/>
      <c r="E656" s="114"/>
      <c r="F656" s="114"/>
      <c r="G656" s="114"/>
      <c r="H656" s="114"/>
      <c r="I656" s="43"/>
      <c r="J656" s="43"/>
      <c r="K656" s="43"/>
      <c r="L656" s="78"/>
      <c r="M656" s="114"/>
      <c r="N656" s="115"/>
      <c r="O656" s="114"/>
      <c r="P656" s="116"/>
      <c r="Q656" s="106"/>
    </row>
    <row r="657" spans="1:17" ht="12.75" customHeight="1">
      <c r="A657" s="120" t="s">
        <v>293</v>
      </c>
      <c r="B657" s="102">
        <f>+B658+B662</f>
        <v>222648</v>
      </c>
      <c r="C657" s="102">
        <f>+C658+C662</f>
        <v>114953</v>
      </c>
      <c r="D657" s="102">
        <f>+D658+D662</f>
        <v>337601</v>
      </c>
      <c r="E657" s="102">
        <f t="shared" ref="E657:P657" si="395">+E658+E662</f>
        <v>206160</v>
      </c>
      <c r="F657" s="102">
        <f t="shared" si="395"/>
        <v>37374</v>
      </c>
      <c r="G657" s="102">
        <f t="shared" si="395"/>
        <v>104112</v>
      </c>
      <c r="H657" s="102">
        <f t="shared" si="395"/>
        <v>347646</v>
      </c>
      <c r="I657" s="45">
        <f t="shared" si="395"/>
        <v>205791</v>
      </c>
      <c r="J657" s="45">
        <f t="shared" si="395"/>
        <v>31195</v>
      </c>
      <c r="K657" s="45">
        <f t="shared" si="395"/>
        <v>0</v>
      </c>
      <c r="L657" s="103">
        <f t="shared" si="395"/>
        <v>236986</v>
      </c>
      <c r="M657" s="102">
        <f t="shared" si="395"/>
        <v>369</v>
      </c>
      <c r="N657" s="104">
        <f t="shared" si="395"/>
        <v>6179</v>
      </c>
      <c r="O657" s="102">
        <f t="shared" si="395"/>
        <v>104112</v>
      </c>
      <c r="P657" s="105">
        <f t="shared" si="395"/>
        <v>110660</v>
      </c>
      <c r="Q657" s="106">
        <f>+L657/H657</f>
        <v>0.68168769380346672</v>
      </c>
    </row>
    <row r="658" spans="1:17" ht="12.75" customHeight="1">
      <c r="A658" s="127" t="s">
        <v>15</v>
      </c>
      <c r="B658" s="108">
        <f>SUM(B659:B661)</f>
        <v>222648</v>
      </c>
      <c r="C658" s="108">
        <f>SUM(C659:C661)</f>
        <v>113442</v>
      </c>
      <c r="D658" s="108">
        <f>SUM(D659:D661)</f>
        <v>336090</v>
      </c>
      <c r="E658" s="108">
        <f t="shared" ref="E658:P658" si="396">SUM(E659:E661)</f>
        <v>206160</v>
      </c>
      <c r="F658" s="108">
        <f t="shared" si="396"/>
        <v>35868</v>
      </c>
      <c r="G658" s="108">
        <f t="shared" si="396"/>
        <v>104107</v>
      </c>
      <c r="H658" s="108">
        <f t="shared" si="396"/>
        <v>346135</v>
      </c>
      <c r="I658" s="109">
        <f>SUM(I659:I661)</f>
        <v>205791</v>
      </c>
      <c r="J658" s="109">
        <f>SUM(J659:J661)</f>
        <v>31195</v>
      </c>
      <c r="K658" s="109">
        <f>SUM(K659:K661)</f>
        <v>0</v>
      </c>
      <c r="L658" s="110">
        <f>SUM(L659:L661)</f>
        <v>236986</v>
      </c>
      <c r="M658" s="108">
        <f t="shared" si="396"/>
        <v>369</v>
      </c>
      <c r="N658" s="111">
        <f t="shared" si="396"/>
        <v>4673</v>
      </c>
      <c r="O658" s="108">
        <f t="shared" si="396"/>
        <v>104107</v>
      </c>
      <c r="P658" s="112">
        <f t="shared" si="396"/>
        <v>109149</v>
      </c>
      <c r="Q658" s="106"/>
    </row>
    <row r="659" spans="1:17" ht="12.75" customHeight="1">
      <c r="A659" s="113" t="s">
        <v>16</v>
      </c>
      <c r="B659" s="114">
        <v>206830</v>
      </c>
      <c r="C659" s="114"/>
      <c r="D659" s="114">
        <f>+B659+C659</f>
        <v>206830</v>
      </c>
      <c r="E659" s="114">
        <v>170962</v>
      </c>
      <c r="F659" s="114">
        <v>35868</v>
      </c>
      <c r="G659" s="114">
        <v>10045</v>
      </c>
      <c r="H659" s="114">
        <f>SUM(E659:G659)</f>
        <v>216875</v>
      </c>
      <c r="I659" s="43">
        <v>170962</v>
      </c>
      <c r="J659" s="43">
        <v>31195</v>
      </c>
      <c r="K659" s="43"/>
      <c r="L659" s="78">
        <f>SUM(I659:K659)</f>
        <v>202157</v>
      </c>
      <c r="M659" s="114">
        <f t="shared" ref="M659:O661" si="397">+E659-I659</f>
        <v>0</v>
      </c>
      <c r="N659" s="115">
        <f t="shared" si="397"/>
        <v>4673</v>
      </c>
      <c r="O659" s="114">
        <f t="shared" si="397"/>
        <v>10045</v>
      </c>
      <c r="P659" s="116">
        <f>SUM(M659:O659)</f>
        <v>14718</v>
      </c>
      <c r="Q659" s="106"/>
    </row>
    <row r="660" spans="1:17" ht="12.75" customHeight="1">
      <c r="A660" s="113" t="s">
        <v>17</v>
      </c>
      <c r="B660" s="114"/>
      <c r="C660" s="114">
        <f>+H660</f>
        <v>113442</v>
      </c>
      <c r="D660" s="114">
        <f>+B660+C660</f>
        <v>113442</v>
      </c>
      <c r="E660" s="114">
        <v>19380</v>
      </c>
      <c r="F660" s="114"/>
      <c r="G660" s="114">
        <v>94062</v>
      </c>
      <c r="H660" s="114">
        <f>SUM(E660:G660)</f>
        <v>113442</v>
      </c>
      <c r="I660" s="43">
        <v>19380</v>
      </c>
      <c r="J660" s="43"/>
      <c r="K660" s="43"/>
      <c r="L660" s="78">
        <f>SUM(I660:K660)</f>
        <v>19380</v>
      </c>
      <c r="M660" s="114">
        <f t="shared" si="397"/>
        <v>0</v>
      </c>
      <c r="N660" s="115">
        <f t="shared" si="397"/>
        <v>0</v>
      </c>
      <c r="O660" s="114">
        <f t="shared" si="397"/>
        <v>94062</v>
      </c>
      <c r="P660" s="116">
        <f>SUM(M660:O660)</f>
        <v>94062</v>
      </c>
      <c r="Q660" s="106"/>
    </row>
    <row r="661" spans="1:17" ht="12.75" customHeight="1">
      <c r="A661" s="113" t="s">
        <v>18</v>
      </c>
      <c r="B661" s="114">
        <v>15818</v>
      </c>
      <c r="C661" s="114"/>
      <c r="D661" s="114">
        <f>+B661+C661</f>
        <v>15818</v>
      </c>
      <c r="E661" s="114">
        <v>15818</v>
      </c>
      <c r="F661" s="114"/>
      <c r="G661" s="114"/>
      <c r="H661" s="114">
        <f>SUM(E661:G661)</f>
        <v>15818</v>
      </c>
      <c r="I661" s="43">
        <v>15449</v>
      </c>
      <c r="J661" s="43"/>
      <c r="K661" s="43"/>
      <c r="L661" s="78">
        <f>SUM(I661:K661)</f>
        <v>15449</v>
      </c>
      <c r="M661" s="114">
        <f t="shared" si="397"/>
        <v>369</v>
      </c>
      <c r="N661" s="115">
        <f t="shared" si="397"/>
        <v>0</v>
      </c>
      <c r="O661" s="114">
        <f t="shared" si="397"/>
        <v>0</v>
      </c>
      <c r="P661" s="116">
        <f>SUM(M661:O661)</f>
        <v>369</v>
      </c>
      <c r="Q661" s="106"/>
    </row>
    <row r="662" spans="1:17" ht="12.75" customHeight="1">
      <c r="A662" s="113" t="s">
        <v>19</v>
      </c>
      <c r="B662" s="102">
        <f>SUM(B663:B664)</f>
        <v>0</v>
      </c>
      <c r="C662" s="102">
        <f>SUM(C663:C664)</f>
        <v>1511</v>
      </c>
      <c r="D662" s="102">
        <f>SUM(D663:D664)</f>
        <v>1511</v>
      </c>
      <c r="E662" s="102">
        <f t="shared" ref="E662:P662" si="398">SUM(E663:E664)</f>
        <v>0</v>
      </c>
      <c r="F662" s="102">
        <f t="shared" si="398"/>
        <v>1506</v>
      </c>
      <c r="G662" s="102">
        <f t="shared" si="398"/>
        <v>5</v>
      </c>
      <c r="H662" s="102">
        <f t="shared" si="398"/>
        <v>1511</v>
      </c>
      <c r="I662" s="45">
        <f>SUM(I663:I664)</f>
        <v>0</v>
      </c>
      <c r="J662" s="45">
        <f>SUM(J663:J664)</f>
        <v>0</v>
      </c>
      <c r="K662" s="45">
        <f>SUM(K663:K664)</f>
        <v>0</v>
      </c>
      <c r="L662" s="103">
        <f>SUM(L663:L664)</f>
        <v>0</v>
      </c>
      <c r="M662" s="102">
        <f t="shared" si="398"/>
        <v>0</v>
      </c>
      <c r="N662" s="104">
        <f t="shared" si="398"/>
        <v>1506</v>
      </c>
      <c r="O662" s="102">
        <f t="shared" si="398"/>
        <v>5</v>
      </c>
      <c r="P662" s="105">
        <f t="shared" si="398"/>
        <v>1511</v>
      </c>
      <c r="Q662" s="106"/>
    </row>
    <row r="663" spans="1:17" ht="12.75" customHeight="1">
      <c r="A663" s="113" t="s">
        <v>20</v>
      </c>
      <c r="B663" s="114"/>
      <c r="C663" s="114">
        <f>+H663</f>
        <v>1511</v>
      </c>
      <c r="D663" s="114">
        <f>+B663+C663</f>
        <v>1511</v>
      </c>
      <c r="E663" s="114"/>
      <c r="F663" s="114">
        <v>1506</v>
      </c>
      <c r="G663" s="114">
        <v>5</v>
      </c>
      <c r="H663" s="114">
        <f>SUM(E663:G663)</f>
        <v>1511</v>
      </c>
      <c r="I663" s="43"/>
      <c r="J663" s="43"/>
      <c r="K663" s="43"/>
      <c r="L663" s="78">
        <f>SUM(I663:K663)</f>
        <v>0</v>
      </c>
      <c r="M663" s="114">
        <f t="shared" ref="M663:O664" si="399">+E663-I663</f>
        <v>0</v>
      </c>
      <c r="N663" s="115">
        <f t="shared" si="399"/>
        <v>1506</v>
      </c>
      <c r="O663" s="114">
        <f t="shared" si="399"/>
        <v>5</v>
      </c>
      <c r="P663" s="116">
        <f>SUM(M663:O663)</f>
        <v>1511</v>
      </c>
      <c r="Q663" s="106"/>
    </row>
    <row r="664" spans="1:17" ht="12.75" customHeight="1">
      <c r="A664" s="113" t="s">
        <v>21</v>
      </c>
      <c r="B664" s="114"/>
      <c r="C664" s="114"/>
      <c r="D664" s="114">
        <f>+B664+C664</f>
        <v>0</v>
      </c>
      <c r="E664" s="114"/>
      <c r="F664" s="114"/>
      <c r="G664" s="114"/>
      <c r="H664" s="114">
        <f>SUM(E664:G664)</f>
        <v>0</v>
      </c>
      <c r="I664" s="43"/>
      <c r="J664" s="43"/>
      <c r="K664" s="43"/>
      <c r="L664" s="78">
        <f>SUM(I664:K664)</f>
        <v>0</v>
      </c>
      <c r="M664" s="114">
        <f t="shared" si="399"/>
        <v>0</v>
      </c>
      <c r="N664" s="115">
        <f t="shared" si="399"/>
        <v>0</v>
      </c>
      <c r="O664" s="114">
        <f t="shared" si="399"/>
        <v>0</v>
      </c>
      <c r="P664" s="116">
        <f>SUM(M664:O664)</f>
        <v>0</v>
      </c>
      <c r="Q664" s="106"/>
    </row>
    <row r="665" spans="1:17" ht="12.75" customHeight="1">
      <c r="A665" s="121"/>
      <c r="B665" s="122"/>
      <c r="C665" s="122"/>
      <c r="D665" s="122"/>
      <c r="E665" s="114"/>
      <c r="F665" s="114"/>
      <c r="G665" s="114"/>
      <c r="H665" s="114"/>
      <c r="I665" s="43"/>
      <c r="J665" s="43"/>
      <c r="K665" s="43"/>
      <c r="L665" s="78"/>
      <c r="M665" s="114"/>
      <c r="N665" s="115"/>
      <c r="O665" s="114"/>
      <c r="P665" s="116"/>
      <c r="Q665" s="106"/>
    </row>
    <row r="666" spans="1:17">
      <c r="A666" s="120" t="s">
        <v>294</v>
      </c>
      <c r="B666" s="102">
        <f>+B667+B671</f>
        <v>54478</v>
      </c>
      <c r="C666" s="102">
        <f>+C667+C671</f>
        <v>2716</v>
      </c>
      <c r="D666" s="102">
        <f>+D667+D671</f>
        <v>57194</v>
      </c>
      <c r="E666" s="102">
        <f t="shared" ref="E666:P666" si="400">+E667+E671</f>
        <v>32033</v>
      </c>
      <c r="F666" s="102">
        <f t="shared" si="400"/>
        <v>25190</v>
      </c>
      <c r="G666" s="102">
        <f t="shared" si="400"/>
        <v>7682</v>
      </c>
      <c r="H666" s="102">
        <f t="shared" si="400"/>
        <v>64905</v>
      </c>
      <c r="I666" s="45">
        <f t="shared" si="400"/>
        <v>32033</v>
      </c>
      <c r="J666" s="45">
        <f t="shared" si="400"/>
        <v>22320</v>
      </c>
      <c r="K666" s="45">
        <f t="shared" si="400"/>
        <v>0</v>
      </c>
      <c r="L666" s="103">
        <f t="shared" si="400"/>
        <v>54353</v>
      </c>
      <c r="M666" s="102">
        <f t="shared" si="400"/>
        <v>0</v>
      </c>
      <c r="N666" s="104">
        <f t="shared" si="400"/>
        <v>2870</v>
      </c>
      <c r="O666" s="102">
        <f t="shared" si="400"/>
        <v>7682</v>
      </c>
      <c r="P666" s="105">
        <f t="shared" si="400"/>
        <v>10552</v>
      </c>
      <c r="Q666" s="106">
        <f>+L666/H666</f>
        <v>0.83742392727832982</v>
      </c>
    </row>
    <row r="667" spans="1:17" ht="12.75" customHeight="1">
      <c r="A667" s="127" t="s">
        <v>15</v>
      </c>
      <c r="B667" s="108">
        <f>SUM(B668:B670)</f>
        <v>54478</v>
      </c>
      <c r="C667" s="108">
        <f>SUM(C668:C670)</f>
        <v>2716</v>
      </c>
      <c r="D667" s="108">
        <f>SUM(D668:D670)</f>
        <v>57194</v>
      </c>
      <c r="E667" s="108">
        <f t="shared" ref="E667:P667" si="401">SUM(E668:E670)</f>
        <v>32033</v>
      </c>
      <c r="F667" s="108">
        <f t="shared" si="401"/>
        <v>25190</v>
      </c>
      <c r="G667" s="108">
        <f t="shared" si="401"/>
        <v>7682</v>
      </c>
      <c r="H667" s="108">
        <f t="shared" si="401"/>
        <v>64905</v>
      </c>
      <c r="I667" s="109">
        <f>SUM(I668:I670)</f>
        <v>32033</v>
      </c>
      <c r="J667" s="109">
        <f>SUM(J668:J670)</f>
        <v>22320</v>
      </c>
      <c r="K667" s="109">
        <f>SUM(K668:K670)</f>
        <v>0</v>
      </c>
      <c r="L667" s="110">
        <f>SUM(L668:L670)</f>
        <v>54353</v>
      </c>
      <c r="M667" s="108">
        <f t="shared" si="401"/>
        <v>0</v>
      </c>
      <c r="N667" s="111">
        <f t="shared" si="401"/>
        <v>2870</v>
      </c>
      <c r="O667" s="108">
        <f t="shared" si="401"/>
        <v>7682</v>
      </c>
      <c r="P667" s="112">
        <f t="shared" si="401"/>
        <v>10552</v>
      </c>
      <c r="Q667" s="106"/>
    </row>
    <row r="668" spans="1:17" ht="12.75" customHeight="1">
      <c r="A668" s="113" t="s">
        <v>16</v>
      </c>
      <c r="B668" s="114">
        <v>52040</v>
      </c>
      <c r="C668" s="114"/>
      <c r="D668" s="114">
        <f>+B668+C668</f>
        <v>52040</v>
      </c>
      <c r="E668" s="114">
        <v>26850</v>
      </c>
      <c r="F668" s="114">
        <v>25190</v>
      </c>
      <c r="G668" s="114">
        <v>7682</v>
      </c>
      <c r="H668" s="114">
        <f>SUM(E668:G668)</f>
        <v>59722</v>
      </c>
      <c r="I668" s="43">
        <f>26788+62</f>
        <v>26850</v>
      </c>
      <c r="J668" s="43">
        <v>22320</v>
      </c>
      <c r="K668" s="43"/>
      <c r="L668" s="78">
        <f>SUM(I668:K668)</f>
        <v>49170</v>
      </c>
      <c r="M668" s="114">
        <f t="shared" ref="M668:O670" si="402">+E668-I668</f>
        <v>0</v>
      </c>
      <c r="N668" s="115">
        <f t="shared" si="402"/>
        <v>2870</v>
      </c>
      <c r="O668" s="114">
        <f t="shared" si="402"/>
        <v>7682</v>
      </c>
      <c r="P668" s="116">
        <f>SUM(M668:O668)</f>
        <v>10552</v>
      </c>
      <c r="Q668" s="106"/>
    </row>
    <row r="669" spans="1:17" ht="12.75" customHeight="1">
      <c r="A669" s="113" t="s">
        <v>17</v>
      </c>
      <c r="B669" s="114"/>
      <c r="C669" s="114">
        <f>+H669</f>
        <v>2716</v>
      </c>
      <c r="D669" s="114">
        <f>+B669+C669</f>
        <v>2716</v>
      </c>
      <c r="E669" s="114">
        <v>2716</v>
      </c>
      <c r="F669" s="114"/>
      <c r="G669" s="114"/>
      <c r="H669" s="114">
        <f>SUM(E669:G669)</f>
        <v>2716</v>
      </c>
      <c r="I669" s="43">
        <f>2735-19</f>
        <v>2716</v>
      </c>
      <c r="J669" s="43"/>
      <c r="K669" s="43"/>
      <c r="L669" s="78">
        <f>SUM(I669:K669)</f>
        <v>2716</v>
      </c>
      <c r="M669" s="114">
        <f t="shared" si="402"/>
        <v>0</v>
      </c>
      <c r="N669" s="115">
        <f t="shared" si="402"/>
        <v>0</v>
      </c>
      <c r="O669" s="114">
        <f t="shared" si="402"/>
        <v>0</v>
      </c>
      <c r="P669" s="116">
        <f>SUM(M669:O669)</f>
        <v>0</v>
      </c>
      <c r="Q669" s="106"/>
    </row>
    <row r="670" spans="1:17" ht="12.75" customHeight="1">
      <c r="A670" s="113" t="s">
        <v>18</v>
      </c>
      <c r="B670" s="114">
        <v>2438</v>
      </c>
      <c r="C670" s="114"/>
      <c r="D670" s="114">
        <f>+B670+C670</f>
        <v>2438</v>
      </c>
      <c r="E670" s="114">
        <v>2467</v>
      </c>
      <c r="F670" s="114"/>
      <c r="G670" s="114"/>
      <c r="H670" s="114">
        <f>SUM(E670:G670)</f>
        <v>2467</v>
      </c>
      <c r="I670" s="43">
        <f>2510-43</f>
        <v>2467</v>
      </c>
      <c r="J670" s="43"/>
      <c r="K670" s="43"/>
      <c r="L670" s="78">
        <f>SUM(I670:K670)</f>
        <v>2467</v>
      </c>
      <c r="M670" s="114">
        <f t="shared" si="402"/>
        <v>0</v>
      </c>
      <c r="N670" s="115">
        <f t="shared" si="402"/>
        <v>0</v>
      </c>
      <c r="O670" s="114">
        <f t="shared" si="402"/>
        <v>0</v>
      </c>
      <c r="P670" s="116">
        <f>SUM(M670:O670)</f>
        <v>0</v>
      </c>
      <c r="Q670" s="106"/>
    </row>
    <row r="671" spans="1:17" ht="12.75" customHeight="1">
      <c r="A671" s="113" t="s">
        <v>19</v>
      </c>
      <c r="B671" s="102">
        <f>SUM(B672:B673)</f>
        <v>0</v>
      </c>
      <c r="C671" s="102">
        <f>SUM(C672:C673)</f>
        <v>0</v>
      </c>
      <c r="D671" s="102">
        <f>SUM(D672:D673)</f>
        <v>0</v>
      </c>
      <c r="E671" s="102">
        <f t="shared" ref="E671:P671" si="403">SUM(E672:E673)</f>
        <v>0</v>
      </c>
      <c r="F671" s="102">
        <f t="shared" si="403"/>
        <v>0</v>
      </c>
      <c r="G671" s="102">
        <f t="shared" si="403"/>
        <v>0</v>
      </c>
      <c r="H671" s="102">
        <f t="shared" si="403"/>
        <v>0</v>
      </c>
      <c r="I671" s="45">
        <f>SUM(I672:I673)</f>
        <v>0</v>
      </c>
      <c r="J671" s="45">
        <f>SUM(J672:J673)</f>
        <v>0</v>
      </c>
      <c r="K671" s="45">
        <f>SUM(K672:K673)</f>
        <v>0</v>
      </c>
      <c r="L671" s="103">
        <f>SUM(L672:L673)</f>
        <v>0</v>
      </c>
      <c r="M671" s="102">
        <f t="shared" si="403"/>
        <v>0</v>
      </c>
      <c r="N671" s="104">
        <f t="shared" si="403"/>
        <v>0</v>
      </c>
      <c r="O671" s="102">
        <f t="shared" si="403"/>
        <v>0</v>
      </c>
      <c r="P671" s="105">
        <f t="shared" si="403"/>
        <v>0</v>
      </c>
      <c r="Q671" s="106"/>
    </row>
    <row r="672" spans="1:17" ht="12.75" customHeight="1">
      <c r="A672" s="113" t="s">
        <v>20</v>
      </c>
      <c r="B672" s="114"/>
      <c r="C672" s="114">
        <f>+H672</f>
        <v>0</v>
      </c>
      <c r="D672" s="114">
        <f>+B672+C672</f>
        <v>0</v>
      </c>
      <c r="E672" s="114"/>
      <c r="F672" s="114"/>
      <c r="G672" s="114"/>
      <c r="H672" s="114">
        <f>SUM(E672:G672)</f>
        <v>0</v>
      </c>
      <c r="I672" s="43"/>
      <c r="J672" s="43"/>
      <c r="K672" s="43"/>
      <c r="L672" s="78">
        <f>SUM(I672:K672)</f>
        <v>0</v>
      </c>
      <c r="M672" s="114">
        <f t="shared" ref="M672:O673" si="404">+E672-I672</f>
        <v>0</v>
      </c>
      <c r="N672" s="115">
        <f t="shared" si="404"/>
        <v>0</v>
      </c>
      <c r="O672" s="114">
        <f t="shared" si="404"/>
        <v>0</v>
      </c>
      <c r="P672" s="116">
        <f>SUM(M672:O672)</f>
        <v>0</v>
      </c>
      <c r="Q672" s="106"/>
    </row>
    <row r="673" spans="1:17" ht="12.75" customHeight="1">
      <c r="A673" s="113" t="s">
        <v>21</v>
      </c>
      <c r="B673" s="114"/>
      <c r="C673" s="114">
        <f>+H673</f>
        <v>0</v>
      </c>
      <c r="D673" s="114">
        <f>+B673+C673</f>
        <v>0</v>
      </c>
      <c r="E673" s="114"/>
      <c r="F673" s="114"/>
      <c r="G673" s="114"/>
      <c r="H673" s="114">
        <f>SUM(E673:G673)</f>
        <v>0</v>
      </c>
      <c r="I673" s="43"/>
      <c r="J673" s="43"/>
      <c r="K673" s="43"/>
      <c r="L673" s="78">
        <f>SUM(I673:K673)</f>
        <v>0</v>
      </c>
      <c r="M673" s="114">
        <f t="shared" si="404"/>
        <v>0</v>
      </c>
      <c r="N673" s="115">
        <f t="shared" si="404"/>
        <v>0</v>
      </c>
      <c r="O673" s="114">
        <f t="shared" si="404"/>
        <v>0</v>
      </c>
      <c r="P673" s="116">
        <f>SUM(M673:O673)</f>
        <v>0</v>
      </c>
      <c r="Q673" s="106"/>
    </row>
    <row r="674" spans="1:17" ht="12.75" customHeight="1">
      <c r="A674" s="121"/>
      <c r="B674" s="122"/>
      <c r="C674" s="122"/>
      <c r="D674" s="122"/>
      <c r="E674" s="114"/>
      <c r="F674" s="114"/>
      <c r="G674" s="114"/>
      <c r="H674" s="114"/>
      <c r="I674" s="43"/>
      <c r="J674" s="43"/>
      <c r="K674" s="43"/>
      <c r="L674" s="78"/>
      <c r="M674" s="114"/>
      <c r="N674" s="115"/>
      <c r="O674" s="114"/>
      <c r="P674" s="116"/>
      <c r="Q674" s="106"/>
    </row>
    <row r="675" spans="1:17" ht="12.75" customHeight="1">
      <c r="A675" s="120" t="s">
        <v>295</v>
      </c>
      <c r="B675" s="102">
        <f>+B676+B680</f>
        <v>128436</v>
      </c>
      <c r="C675" s="102">
        <f>+C676+C680</f>
        <v>27158</v>
      </c>
      <c r="D675" s="102">
        <f>+D676+D680</f>
        <v>155594</v>
      </c>
      <c r="E675" s="102">
        <f t="shared" ref="E675:P675" si="405">+E676+E680</f>
        <v>107259</v>
      </c>
      <c r="F675" s="102">
        <f t="shared" si="405"/>
        <v>28506</v>
      </c>
      <c r="G675" s="102">
        <f t="shared" si="405"/>
        <v>20336</v>
      </c>
      <c r="H675" s="102">
        <f t="shared" si="405"/>
        <v>156101</v>
      </c>
      <c r="I675" s="45">
        <f t="shared" si="405"/>
        <v>105103</v>
      </c>
      <c r="J675" s="45">
        <f t="shared" si="405"/>
        <v>23548</v>
      </c>
      <c r="K675" s="45">
        <f t="shared" si="405"/>
        <v>261</v>
      </c>
      <c r="L675" s="103">
        <f t="shared" si="405"/>
        <v>128912</v>
      </c>
      <c r="M675" s="102">
        <f t="shared" si="405"/>
        <v>2156</v>
      </c>
      <c r="N675" s="104">
        <f t="shared" si="405"/>
        <v>4958</v>
      </c>
      <c r="O675" s="102">
        <f t="shared" si="405"/>
        <v>20075</v>
      </c>
      <c r="P675" s="105">
        <f t="shared" si="405"/>
        <v>27189</v>
      </c>
      <c r="Q675" s="106">
        <f>+L675/H675</f>
        <v>0.82582430605825718</v>
      </c>
    </row>
    <row r="676" spans="1:17" ht="12.75" customHeight="1">
      <c r="A676" s="127" t="s">
        <v>15</v>
      </c>
      <c r="B676" s="108">
        <f>SUM(B677:B679)</f>
        <v>128436</v>
      </c>
      <c r="C676" s="108">
        <f>SUM(C677:C679)</f>
        <v>27158</v>
      </c>
      <c r="D676" s="108">
        <f>SUM(D677:D679)</f>
        <v>155594</v>
      </c>
      <c r="E676" s="108">
        <f t="shared" ref="E676:P676" si="406">SUM(E677:E679)</f>
        <v>107259</v>
      </c>
      <c r="F676" s="108">
        <f t="shared" si="406"/>
        <v>28506</v>
      </c>
      <c r="G676" s="108">
        <f t="shared" si="406"/>
        <v>20336</v>
      </c>
      <c r="H676" s="108">
        <f t="shared" si="406"/>
        <v>156101</v>
      </c>
      <c r="I676" s="109">
        <f>SUM(I677:I679)</f>
        <v>105103</v>
      </c>
      <c r="J676" s="109">
        <f>SUM(J677:J679)</f>
        <v>23548</v>
      </c>
      <c r="K676" s="109">
        <f>SUM(K677:K679)</f>
        <v>261</v>
      </c>
      <c r="L676" s="110">
        <f>SUM(L677:L679)</f>
        <v>128912</v>
      </c>
      <c r="M676" s="108">
        <f t="shared" si="406"/>
        <v>2156</v>
      </c>
      <c r="N676" s="111">
        <f t="shared" si="406"/>
        <v>4958</v>
      </c>
      <c r="O676" s="108">
        <f t="shared" si="406"/>
        <v>20075</v>
      </c>
      <c r="P676" s="112">
        <f t="shared" si="406"/>
        <v>27189</v>
      </c>
      <c r="Q676" s="106"/>
    </row>
    <row r="677" spans="1:17" ht="12.75" customHeight="1">
      <c r="A677" s="113" t="s">
        <v>16</v>
      </c>
      <c r="B677" s="114">
        <v>120185</v>
      </c>
      <c r="C677" s="114"/>
      <c r="D677" s="114">
        <f>+B677+C677</f>
        <v>120185</v>
      </c>
      <c r="E677" s="114">
        <v>91379</v>
      </c>
      <c r="F677" s="114">
        <v>28506</v>
      </c>
      <c r="G677" s="114">
        <v>300</v>
      </c>
      <c r="H677" s="114">
        <f>SUM(E677:G677)</f>
        <v>120185</v>
      </c>
      <c r="I677" s="43">
        <v>90216</v>
      </c>
      <c r="J677" s="43">
        <v>23548</v>
      </c>
      <c r="K677" s="43">
        <v>261</v>
      </c>
      <c r="L677" s="78">
        <f>SUM(I677:K677)</f>
        <v>114025</v>
      </c>
      <c r="M677" s="114">
        <f t="shared" ref="M677:O679" si="407">+E677-I677</f>
        <v>1163</v>
      </c>
      <c r="N677" s="115">
        <f t="shared" si="407"/>
        <v>4958</v>
      </c>
      <c r="O677" s="114">
        <f t="shared" si="407"/>
        <v>39</v>
      </c>
      <c r="P677" s="116">
        <f>SUM(M677:O677)</f>
        <v>6160</v>
      </c>
      <c r="Q677" s="106"/>
    </row>
    <row r="678" spans="1:17" ht="12.75" customHeight="1">
      <c r="A678" s="113" t="s">
        <v>17</v>
      </c>
      <c r="B678" s="114"/>
      <c r="C678" s="114">
        <f>+H678</f>
        <v>27158</v>
      </c>
      <c r="D678" s="114">
        <f>+B678+C678</f>
        <v>27158</v>
      </c>
      <c r="E678" s="114">
        <v>7122</v>
      </c>
      <c r="F678" s="114"/>
      <c r="G678" s="114">
        <v>20036</v>
      </c>
      <c r="H678" s="114">
        <f>SUM(E678:G678)</f>
        <v>27158</v>
      </c>
      <c r="I678" s="43">
        <v>6465</v>
      </c>
      <c r="J678" s="43"/>
      <c r="K678" s="43"/>
      <c r="L678" s="78">
        <f>SUM(I678:K678)</f>
        <v>6465</v>
      </c>
      <c r="M678" s="114">
        <f t="shared" si="407"/>
        <v>657</v>
      </c>
      <c r="N678" s="115">
        <f t="shared" si="407"/>
        <v>0</v>
      </c>
      <c r="O678" s="114">
        <f t="shared" si="407"/>
        <v>20036</v>
      </c>
      <c r="P678" s="116">
        <f>SUM(M678:O678)</f>
        <v>20693</v>
      </c>
      <c r="Q678" s="106"/>
    </row>
    <row r="679" spans="1:17" ht="12.75" customHeight="1">
      <c r="A679" s="113" t="s">
        <v>18</v>
      </c>
      <c r="B679" s="114">
        <v>8251</v>
      </c>
      <c r="C679" s="114"/>
      <c r="D679" s="114">
        <f>+B679+C679</f>
        <v>8251</v>
      </c>
      <c r="E679" s="114">
        <v>8758</v>
      </c>
      <c r="F679" s="114"/>
      <c r="G679" s="114"/>
      <c r="H679" s="114">
        <f>SUM(E679:G679)</f>
        <v>8758</v>
      </c>
      <c r="I679" s="43">
        <v>8422</v>
      </c>
      <c r="J679" s="43"/>
      <c r="K679" s="43"/>
      <c r="L679" s="78">
        <f>SUM(I679:K679)</f>
        <v>8422</v>
      </c>
      <c r="M679" s="114">
        <f t="shared" si="407"/>
        <v>336</v>
      </c>
      <c r="N679" s="115">
        <f t="shared" si="407"/>
        <v>0</v>
      </c>
      <c r="O679" s="114">
        <f t="shared" si="407"/>
        <v>0</v>
      </c>
      <c r="P679" s="116">
        <f>SUM(M679:O679)</f>
        <v>336</v>
      </c>
      <c r="Q679" s="106"/>
    </row>
    <row r="680" spans="1:17" ht="12.75" customHeight="1">
      <c r="A680" s="113" t="s">
        <v>19</v>
      </c>
      <c r="B680" s="102">
        <f>SUM(B681:B682)</f>
        <v>0</v>
      </c>
      <c r="C680" s="102">
        <f>SUM(C681:C682)</f>
        <v>0</v>
      </c>
      <c r="D680" s="102">
        <f>SUM(D681:D682)</f>
        <v>0</v>
      </c>
      <c r="E680" s="102">
        <f t="shared" ref="E680:P680" si="408">SUM(E681:E682)</f>
        <v>0</v>
      </c>
      <c r="F680" s="102">
        <f t="shared" si="408"/>
        <v>0</v>
      </c>
      <c r="G680" s="102">
        <f t="shared" si="408"/>
        <v>0</v>
      </c>
      <c r="H680" s="102">
        <f t="shared" si="408"/>
        <v>0</v>
      </c>
      <c r="I680" s="45">
        <f>SUM(I681:I682)</f>
        <v>0</v>
      </c>
      <c r="J680" s="45">
        <f>SUM(J681:J682)</f>
        <v>0</v>
      </c>
      <c r="K680" s="45">
        <f>SUM(K681:K682)</f>
        <v>0</v>
      </c>
      <c r="L680" s="103">
        <f>SUM(L681:L682)</f>
        <v>0</v>
      </c>
      <c r="M680" s="102">
        <f t="shared" si="408"/>
        <v>0</v>
      </c>
      <c r="N680" s="104">
        <f t="shared" si="408"/>
        <v>0</v>
      </c>
      <c r="O680" s="102">
        <f t="shared" si="408"/>
        <v>0</v>
      </c>
      <c r="P680" s="105">
        <f t="shared" si="408"/>
        <v>0</v>
      </c>
      <c r="Q680" s="106"/>
    </row>
    <row r="681" spans="1:17" ht="12.75" customHeight="1">
      <c r="A681" s="113" t="s">
        <v>20</v>
      </c>
      <c r="B681" s="114"/>
      <c r="C681" s="114"/>
      <c r="D681" s="114">
        <f>+B681+C681</f>
        <v>0</v>
      </c>
      <c r="E681" s="114"/>
      <c r="F681" s="114"/>
      <c r="G681" s="114"/>
      <c r="H681" s="114">
        <f>SUM(E681:G681)</f>
        <v>0</v>
      </c>
      <c r="I681" s="43"/>
      <c r="J681" s="43"/>
      <c r="K681" s="43"/>
      <c r="L681" s="78">
        <f>SUM(I681:K681)</f>
        <v>0</v>
      </c>
      <c r="M681" s="114">
        <f t="shared" ref="M681:O682" si="409">+E681-I681</f>
        <v>0</v>
      </c>
      <c r="N681" s="115">
        <f t="shared" si="409"/>
        <v>0</v>
      </c>
      <c r="O681" s="114">
        <f t="shared" si="409"/>
        <v>0</v>
      </c>
      <c r="P681" s="116">
        <f>SUM(M681:O681)</f>
        <v>0</v>
      </c>
      <c r="Q681" s="106"/>
    </row>
    <row r="682" spans="1:17" ht="12.75" customHeight="1">
      <c r="A682" s="113" t="s">
        <v>21</v>
      </c>
      <c r="B682" s="114"/>
      <c r="C682" s="114"/>
      <c r="D682" s="114">
        <f>+B682+C682</f>
        <v>0</v>
      </c>
      <c r="E682" s="114"/>
      <c r="F682" s="114"/>
      <c r="G682" s="114"/>
      <c r="H682" s="114">
        <f>SUM(E682:G682)</f>
        <v>0</v>
      </c>
      <c r="I682" s="43"/>
      <c r="J682" s="43"/>
      <c r="K682" s="43"/>
      <c r="L682" s="78">
        <f>SUM(I682:K682)</f>
        <v>0</v>
      </c>
      <c r="M682" s="114">
        <f t="shared" si="409"/>
        <v>0</v>
      </c>
      <c r="N682" s="115">
        <f t="shared" si="409"/>
        <v>0</v>
      </c>
      <c r="O682" s="114">
        <f t="shared" si="409"/>
        <v>0</v>
      </c>
      <c r="P682" s="116">
        <f>SUM(M682:O682)</f>
        <v>0</v>
      </c>
      <c r="Q682" s="106"/>
    </row>
    <row r="683" spans="1:17" ht="12.75" customHeight="1">
      <c r="A683" s="229"/>
      <c r="B683" s="230"/>
      <c r="C683" s="230"/>
      <c r="D683" s="230"/>
      <c r="E683" s="102"/>
      <c r="F683" s="102"/>
      <c r="G683" s="102"/>
      <c r="H683" s="102"/>
      <c r="I683" s="45"/>
      <c r="J683" s="45"/>
      <c r="K683" s="45"/>
      <c r="L683" s="103"/>
      <c r="M683" s="102"/>
      <c r="N683" s="104"/>
      <c r="O683" s="102"/>
      <c r="P683" s="105"/>
      <c r="Q683" s="227"/>
    </row>
    <row r="684" spans="1:17">
      <c r="A684" s="120" t="s">
        <v>296</v>
      </c>
      <c r="B684" s="102">
        <f>+B685+B689</f>
        <v>275349</v>
      </c>
      <c r="C684" s="102">
        <f>+C685+C689</f>
        <v>27038</v>
      </c>
      <c r="D684" s="102">
        <f>+D685+D689</f>
        <v>302387</v>
      </c>
      <c r="E684" s="102">
        <f t="shared" ref="E684:P684" si="410">+E685+E689</f>
        <v>235048</v>
      </c>
      <c r="F684" s="102">
        <f t="shared" si="410"/>
        <v>63594</v>
      </c>
      <c r="G684" s="102">
        <f t="shared" si="410"/>
        <v>27103</v>
      </c>
      <c r="H684" s="102">
        <f t="shared" si="410"/>
        <v>325745</v>
      </c>
      <c r="I684" s="45">
        <f t="shared" si="410"/>
        <v>227249</v>
      </c>
      <c r="J684" s="45">
        <f t="shared" si="410"/>
        <v>61970</v>
      </c>
      <c r="K684" s="45">
        <f t="shared" si="410"/>
        <v>22944</v>
      </c>
      <c r="L684" s="103">
        <f t="shared" si="410"/>
        <v>312163</v>
      </c>
      <c r="M684" s="102">
        <f t="shared" si="410"/>
        <v>7799</v>
      </c>
      <c r="N684" s="104">
        <f t="shared" si="410"/>
        <v>1624</v>
      </c>
      <c r="O684" s="102">
        <f t="shared" si="410"/>
        <v>4159</v>
      </c>
      <c r="P684" s="105">
        <f t="shared" si="410"/>
        <v>13582</v>
      </c>
      <c r="Q684" s="106">
        <f>+L684/H684</f>
        <v>0.95830480897634651</v>
      </c>
    </row>
    <row r="685" spans="1:17" ht="12.75" customHeight="1">
      <c r="A685" s="127" t="s">
        <v>15</v>
      </c>
      <c r="B685" s="108">
        <f>SUM(B686:B688)</f>
        <v>275349</v>
      </c>
      <c r="C685" s="108">
        <f>SUM(C686:C688)</f>
        <v>27038</v>
      </c>
      <c r="D685" s="108">
        <f>SUM(D686:D688)</f>
        <v>302387</v>
      </c>
      <c r="E685" s="108">
        <f t="shared" ref="E685:P685" si="411">SUM(E686:E688)</f>
        <v>235048</v>
      </c>
      <c r="F685" s="108">
        <f t="shared" si="411"/>
        <v>63549</v>
      </c>
      <c r="G685" s="108">
        <f t="shared" si="411"/>
        <v>27103</v>
      </c>
      <c r="H685" s="108">
        <f t="shared" si="411"/>
        <v>325700</v>
      </c>
      <c r="I685" s="109">
        <f>SUM(I686:I688)</f>
        <v>227249</v>
      </c>
      <c r="J685" s="109">
        <f>SUM(J686:J688)</f>
        <v>61925</v>
      </c>
      <c r="K685" s="109">
        <f>SUM(K686:K688)</f>
        <v>22944</v>
      </c>
      <c r="L685" s="110">
        <f>SUM(L686:L688)</f>
        <v>312118</v>
      </c>
      <c r="M685" s="108">
        <f t="shared" si="411"/>
        <v>7799</v>
      </c>
      <c r="N685" s="111">
        <f t="shared" si="411"/>
        <v>1624</v>
      </c>
      <c r="O685" s="108">
        <f t="shared" si="411"/>
        <v>4159</v>
      </c>
      <c r="P685" s="112">
        <f t="shared" si="411"/>
        <v>13582</v>
      </c>
      <c r="Q685" s="106"/>
    </row>
    <row r="686" spans="1:17" ht="12.75" customHeight="1">
      <c r="A686" s="113" t="s">
        <v>16</v>
      </c>
      <c r="B686" s="114">
        <v>257519</v>
      </c>
      <c r="C686" s="114"/>
      <c r="D686" s="114">
        <f>+B686+C686</f>
        <v>257519</v>
      </c>
      <c r="E686" s="114">
        <v>193970</v>
      </c>
      <c r="F686" s="114">
        <v>63549</v>
      </c>
      <c r="G686" s="114">
        <v>21929</v>
      </c>
      <c r="H686" s="114">
        <f>SUM(E686:G686)</f>
        <v>279448</v>
      </c>
      <c r="I686" s="43">
        <f>200124-6154</f>
        <v>193970</v>
      </c>
      <c r="J686" s="43">
        <v>61925</v>
      </c>
      <c r="K686" s="43">
        <v>21856</v>
      </c>
      <c r="L686" s="78">
        <f>SUM(I686:K686)</f>
        <v>277751</v>
      </c>
      <c r="M686" s="114">
        <f t="shared" ref="M686:O688" si="412">+E686-I686</f>
        <v>0</v>
      </c>
      <c r="N686" s="115">
        <f t="shared" si="412"/>
        <v>1624</v>
      </c>
      <c r="O686" s="114">
        <f t="shared" si="412"/>
        <v>73</v>
      </c>
      <c r="P686" s="116">
        <f>SUM(M686:O686)</f>
        <v>1697</v>
      </c>
      <c r="Q686" s="106"/>
    </row>
    <row r="687" spans="1:17" ht="12.75" customHeight="1">
      <c r="A687" s="113" t="s">
        <v>17</v>
      </c>
      <c r="B687" s="114"/>
      <c r="C687" s="114">
        <f>+H687</f>
        <v>27038</v>
      </c>
      <c r="D687" s="114">
        <f>+B687+C687</f>
        <v>27038</v>
      </c>
      <c r="E687" s="114">
        <v>21864</v>
      </c>
      <c r="F687" s="114"/>
      <c r="G687" s="114">
        <v>5174</v>
      </c>
      <c r="H687" s="114">
        <f>SUM(E687:G687)</f>
        <v>27038</v>
      </c>
      <c r="I687" s="43">
        <f>7615+459+6154</f>
        <v>14228</v>
      </c>
      <c r="J687" s="43"/>
      <c r="K687" s="43">
        <v>1088</v>
      </c>
      <c r="L687" s="78">
        <f>SUM(I687:K687)</f>
        <v>15316</v>
      </c>
      <c r="M687" s="114">
        <f t="shared" si="412"/>
        <v>7636</v>
      </c>
      <c r="N687" s="115">
        <f t="shared" si="412"/>
        <v>0</v>
      </c>
      <c r="O687" s="114">
        <f t="shared" si="412"/>
        <v>4086</v>
      </c>
      <c r="P687" s="116">
        <f>SUM(M687:O687)</f>
        <v>11722</v>
      </c>
      <c r="Q687" s="106"/>
    </row>
    <row r="688" spans="1:17" ht="12.75" customHeight="1">
      <c r="A688" s="113" t="s">
        <v>18</v>
      </c>
      <c r="B688" s="114">
        <v>17830</v>
      </c>
      <c r="C688" s="114"/>
      <c r="D688" s="114">
        <f>+B688+C688</f>
        <v>17830</v>
      </c>
      <c r="E688" s="114">
        <v>19214</v>
      </c>
      <c r="F688" s="114"/>
      <c r="G688" s="114"/>
      <c r="H688" s="114">
        <f>SUM(E688:G688)</f>
        <v>19214</v>
      </c>
      <c r="I688" s="43">
        <v>19051</v>
      </c>
      <c r="J688" s="43"/>
      <c r="K688" s="43"/>
      <c r="L688" s="78">
        <f>SUM(I688:K688)</f>
        <v>19051</v>
      </c>
      <c r="M688" s="114">
        <f t="shared" si="412"/>
        <v>163</v>
      </c>
      <c r="N688" s="115">
        <f t="shared" si="412"/>
        <v>0</v>
      </c>
      <c r="O688" s="114">
        <f t="shared" si="412"/>
        <v>0</v>
      </c>
      <c r="P688" s="116">
        <f>SUM(M688:O688)</f>
        <v>163</v>
      </c>
      <c r="Q688" s="106"/>
    </row>
    <row r="689" spans="1:18" ht="12.75" customHeight="1">
      <c r="A689" s="113" t="s">
        <v>19</v>
      </c>
      <c r="B689" s="102">
        <f>SUM(B690:B691)</f>
        <v>0</v>
      </c>
      <c r="C689" s="102">
        <f>SUM(C690:C691)</f>
        <v>0</v>
      </c>
      <c r="D689" s="102">
        <f>SUM(D690:D691)</f>
        <v>0</v>
      </c>
      <c r="E689" s="102">
        <f t="shared" ref="E689:P689" si="413">SUM(E690:E691)</f>
        <v>0</v>
      </c>
      <c r="F689" s="102">
        <f t="shared" si="413"/>
        <v>45</v>
      </c>
      <c r="G689" s="102">
        <f t="shared" si="413"/>
        <v>0</v>
      </c>
      <c r="H689" s="102">
        <f t="shared" si="413"/>
        <v>45</v>
      </c>
      <c r="I689" s="45">
        <f>SUM(I690:I691)</f>
        <v>0</v>
      </c>
      <c r="J689" s="45">
        <f>SUM(J690:J691)</f>
        <v>45</v>
      </c>
      <c r="K689" s="45">
        <f>SUM(K690:K691)</f>
        <v>0</v>
      </c>
      <c r="L689" s="103">
        <f>SUM(L690:L691)</f>
        <v>45</v>
      </c>
      <c r="M689" s="102">
        <f t="shared" si="413"/>
        <v>0</v>
      </c>
      <c r="N689" s="104">
        <f t="shared" si="413"/>
        <v>0</v>
      </c>
      <c r="O689" s="102">
        <f t="shared" si="413"/>
        <v>0</v>
      </c>
      <c r="P689" s="105">
        <f t="shared" si="413"/>
        <v>0</v>
      </c>
      <c r="Q689" s="106"/>
    </row>
    <row r="690" spans="1:18" ht="12.75" customHeight="1">
      <c r="A690" s="113" t="s">
        <v>20</v>
      </c>
      <c r="B690" s="114"/>
      <c r="C690" s="114"/>
      <c r="D690" s="114">
        <f>+B690+C690</f>
        <v>0</v>
      </c>
      <c r="E690" s="114"/>
      <c r="F690" s="114">
        <v>45</v>
      </c>
      <c r="G690" s="114"/>
      <c r="H690" s="114">
        <f>SUM(E690:G690)</f>
        <v>45</v>
      </c>
      <c r="I690" s="43"/>
      <c r="J690" s="43">
        <v>45</v>
      </c>
      <c r="K690" s="43"/>
      <c r="L690" s="78">
        <f>SUM(I690:K690)</f>
        <v>45</v>
      </c>
      <c r="M690" s="114">
        <f t="shared" ref="M690:O691" si="414">+E690-I690</f>
        <v>0</v>
      </c>
      <c r="N690" s="115">
        <f t="shared" si="414"/>
        <v>0</v>
      </c>
      <c r="O690" s="114">
        <f t="shared" si="414"/>
        <v>0</v>
      </c>
      <c r="P690" s="116">
        <f>SUM(M690:O690)</f>
        <v>0</v>
      </c>
      <c r="Q690" s="106"/>
    </row>
    <row r="691" spans="1:18" ht="12.75" customHeight="1">
      <c r="A691" s="113" t="s">
        <v>21</v>
      </c>
      <c r="B691" s="114"/>
      <c r="C691" s="114">
        <f>+H691</f>
        <v>0</v>
      </c>
      <c r="D691" s="114">
        <f>+B691+C691</f>
        <v>0</v>
      </c>
      <c r="E691" s="114"/>
      <c r="F691" s="114"/>
      <c r="G691" s="114"/>
      <c r="H691" s="114">
        <f>SUM(E691:G691)</f>
        <v>0</v>
      </c>
      <c r="I691" s="43"/>
      <c r="J691" s="43"/>
      <c r="K691" s="43"/>
      <c r="L691" s="78">
        <f>SUM(I691:K691)</f>
        <v>0</v>
      </c>
      <c r="M691" s="114">
        <f t="shared" si="414"/>
        <v>0</v>
      </c>
      <c r="N691" s="115">
        <f t="shared" si="414"/>
        <v>0</v>
      </c>
      <c r="O691" s="114">
        <f t="shared" si="414"/>
        <v>0</v>
      </c>
      <c r="P691" s="116">
        <f>SUM(M691:O691)</f>
        <v>0</v>
      </c>
      <c r="Q691" s="106"/>
    </row>
    <row r="692" spans="1:18" ht="12.75" customHeight="1">
      <c r="A692" s="121"/>
      <c r="B692" s="122"/>
      <c r="C692" s="122"/>
      <c r="D692" s="122"/>
      <c r="E692" s="114"/>
      <c r="F692" s="114"/>
      <c r="G692" s="114"/>
      <c r="H692" s="114"/>
      <c r="I692" s="43"/>
      <c r="J692" s="43"/>
      <c r="K692" s="43"/>
      <c r="L692" s="78"/>
      <c r="M692" s="114"/>
      <c r="N692" s="115"/>
      <c r="O692" s="114"/>
      <c r="P692" s="116"/>
      <c r="Q692" s="106"/>
    </row>
    <row r="693" spans="1:18" ht="12.75" customHeight="1">
      <c r="A693" s="135" t="s">
        <v>297</v>
      </c>
      <c r="B693" s="102">
        <f>+B694+B698</f>
        <v>591233</v>
      </c>
      <c r="C693" s="102">
        <f>+C694+C698</f>
        <v>72002</v>
      </c>
      <c r="D693" s="102">
        <f>+D694+D698</f>
        <v>663235</v>
      </c>
      <c r="E693" s="102">
        <f t="shared" ref="E693:P693" si="415">+E694+E698</f>
        <v>516045</v>
      </c>
      <c r="F693" s="102">
        <f t="shared" si="415"/>
        <v>145749</v>
      </c>
      <c r="G693" s="102">
        <f t="shared" si="415"/>
        <v>65968</v>
      </c>
      <c r="H693" s="102">
        <f t="shared" si="415"/>
        <v>727762</v>
      </c>
      <c r="I693" s="45">
        <f t="shared" si="415"/>
        <v>495461</v>
      </c>
      <c r="J693" s="45">
        <f t="shared" si="415"/>
        <v>127301</v>
      </c>
      <c r="K693" s="45">
        <f t="shared" si="415"/>
        <v>836</v>
      </c>
      <c r="L693" s="103">
        <f t="shared" si="415"/>
        <v>623598</v>
      </c>
      <c r="M693" s="102">
        <f t="shared" si="415"/>
        <v>20584</v>
      </c>
      <c r="N693" s="104">
        <f t="shared" si="415"/>
        <v>18448</v>
      </c>
      <c r="O693" s="102">
        <f t="shared" si="415"/>
        <v>65132</v>
      </c>
      <c r="P693" s="105">
        <f t="shared" si="415"/>
        <v>104164</v>
      </c>
      <c r="Q693" s="106">
        <f>+L693/H693</f>
        <v>0.85687079017590917</v>
      </c>
      <c r="R693" s="156"/>
    </row>
    <row r="694" spans="1:18" ht="12.75" customHeight="1">
      <c r="A694" s="127" t="s">
        <v>15</v>
      </c>
      <c r="B694" s="108">
        <f>SUM(B695:B697)</f>
        <v>591233</v>
      </c>
      <c r="C694" s="108">
        <f>SUM(C695:C697)</f>
        <v>70986</v>
      </c>
      <c r="D694" s="108">
        <f>SUM(D695:D697)</f>
        <v>662219</v>
      </c>
      <c r="E694" s="108">
        <f t="shared" ref="E694:P694" si="416">SUM(E695:E697)</f>
        <v>516045</v>
      </c>
      <c r="F694" s="108">
        <f t="shared" si="416"/>
        <v>145569</v>
      </c>
      <c r="G694" s="108">
        <f t="shared" si="416"/>
        <v>65132</v>
      </c>
      <c r="H694" s="108">
        <f t="shared" si="416"/>
        <v>726746</v>
      </c>
      <c r="I694" s="109">
        <f>SUM(I695:I697)</f>
        <v>495461</v>
      </c>
      <c r="J694" s="109">
        <f>SUM(J695:J697)</f>
        <v>127121</v>
      </c>
      <c r="K694" s="109">
        <f>SUM(K695:K697)</f>
        <v>0</v>
      </c>
      <c r="L694" s="110">
        <f>SUM(L695:L697)</f>
        <v>622582</v>
      </c>
      <c r="M694" s="108">
        <f t="shared" si="416"/>
        <v>20584</v>
      </c>
      <c r="N694" s="111">
        <f t="shared" si="416"/>
        <v>18448</v>
      </c>
      <c r="O694" s="108">
        <f t="shared" si="416"/>
        <v>65132</v>
      </c>
      <c r="P694" s="112">
        <f t="shared" si="416"/>
        <v>104164</v>
      </c>
      <c r="Q694" s="106"/>
    </row>
    <row r="695" spans="1:18" ht="12.75" customHeight="1">
      <c r="A695" s="113" t="s">
        <v>16</v>
      </c>
      <c r="B695" s="114">
        <v>556095</v>
      </c>
      <c r="C695" s="114"/>
      <c r="D695" s="114">
        <f>+B695+C695</f>
        <v>556095</v>
      </c>
      <c r="E695" s="114">
        <v>405526</v>
      </c>
      <c r="F695" s="114">
        <v>145569</v>
      </c>
      <c r="G695" s="114">
        <v>65132</v>
      </c>
      <c r="H695" s="114">
        <f>SUM(E695:G695)</f>
        <v>616227</v>
      </c>
      <c r="I695" s="43">
        <v>392721</v>
      </c>
      <c r="J695" s="43">
        <v>127121</v>
      </c>
      <c r="K695" s="43"/>
      <c r="L695" s="78">
        <f>SUM(I695:K695)</f>
        <v>519842</v>
      </c>
      <c r="M695" s="114">
        <f t="shared" ref="M695:O697" si="417">+E695-I695</f>
        <v>12805</v>
      </c>
      <c r="N695" s="115">
        <f t="shared" si="417"/>
        <v>18448</v>
      </c>
      <c r="O695" s="114">
        <f t="shared" si="417"/>
        <v>65132</v>
      </c>
      <c r="P695" s="116">
        <f>SUM(M695:O695)</f>
        <v>96385</v>
      </c>
      <c r="Q695" s="106"/>
    </row>
    <row r="696" spans="1:18" ht="12.75" customHeight="1">
      <c r="A696" s="113" t="s">
        <v>17</v>
      </c>
      <c r="B696" s="114"/>
      <c r="C696" s="114">
        <f>+H696</f>
        <v>70986</v>
      </c>
      <c r="D696" s="114">
        <f>+B696+C696</f>
        <v>70986</v>
      </c>
      <c r="E696" s="114">
        <v>70986</v>
      </c>
      <c r="F696" s="114"/>
      <c r="G696" s="114"/>
      <c r="H696" s="114">
        <f>SUM(E696:G696)</f>
        <v>70986</v>
      </c>
      <c r="I696" s="43">
        <v>65590</v>
      </c>
      <c r="J696" s="43"/>
      <c r="K696" s="43"/>
      <c r="L696" s="78">
        <f>SUM(I696:K696)</f>
        <v>65590</v>
      </c>
      <c r="M696" s="114">
        <f t="shared" si="417"/>
        <v>5396</v>
      </c>
      <c r="N696" s="115">
        <f t="shared" si="417"/>
        <v>0</v>
      </c>
      <c r="O696" s="114">
        <f t="shared" si="417"/>
        <v>0</v>
      </c>
      <c r="P696" s="116">
        <f>SUM(M696:O696)</f>
        <v>5396</v>
      </c>
      <c r="Q696" s="106"/>
    </row>
    <row r="697" spans="1:18" ht="12.75" customHeight="1">
      <c r="A697" s="113" t="s">
        <v>18</v>
      </c>
      <c r="B697" s="114">
        <v>35138</v>
      </c>
      <c r="C697" s="114"/>
      <c r="D697" s="114">
        <f>+B697+C697</f>
        <v>35138</v>
      </c>
      <c r="E697" s="114">
        <v>39533</v>
      </c>
      <c r="F697" s="114"/>
      <c r="G697" s="114"/>
      <c r="H697" s="114">
        <f>SUM(E697:G697)</f>
        <v>39533</v>
      </c>
      <c r="I697" s="43">
        <v>37150</v>
      </c>
      <c r="J697" s="43"/>
      <c r="K697" s="43"/>
      <c r="L697" s="78">
        <f>SUM(I697:K697)</f>
        <v>37150</v>
      </c>
      <c r="M697" s="114">
        <f t="shared" si="417"/>
        <v>2383</v>
      </c>
      <c r="N697" s="115">
        <f t="shared" si="417"/>
        <v>0</v>
      </c>
      <c r="O697" s="114">
        <f t="shared" si="417"/>
        <v>0</v>
      </c>
      <c r="P697" s="116">
        <f>SUM(M697:O697)</f>
        <v>2383</v>
      </c>
      <c r="Q697" s="106"/>
    </row>
    <row r="698" spans="1:18" ht="12.75" customHeight="1">
      <c r="A698" s="113" t="s">
        <v>19</v>
      </c>
      <c r="B698" s="102">
        <f>SUM(B699:B700)</f>
        <v>0</v>
      </c>
      <c r="C698" s="102">
        <f>SUM(C699:C700)</f>
        <v>1016</v>
      </c>
      <c r="D698" s="102">
        <f>SUM(D699:D700)</f>
        <v>1016</v>
      </c>
      <c r="E698" s="102">
        <f t="shared" ref="E698:P698" si="418">SUM(E699:E700)</f>
        <v>0</v>
      </c>
      <c r="F698" s="102">
        <f t="shared" si="418"/>
        <v>180</v>
      </c>
      <c r="G698" s="102">
        <f t="shared" si="418"/>
        <v>836</v>
      </c>
      <c r="H698" s="102">
        <f t="shared" si="418"/>
        <v>1016</v>
      </c>
      <c r="I698" s="45">
        <f>SUM(I699:I700)</f>
        <v>0</v>
      </c>
      <c r="J698" s="45">
        <f>SUM(J699:J700)</f>
        <v>180</v>
      </c>
      <c r="K698" s="45">
        <f>SUM(K699:K700)</f>
        <v>836</v>
      </c>
      <c r="L698" s="103">
        <f>SUM(L699:L700)</f>
        <v>1016</v>
      </c>
      <c r="M698" s="102">
        <f t="shared" si="418"/>
        <v>0</v>
      </c>
      <c r="N698" s="104">
        <f t="shared" si="418"/>
        <v>0</v>
      </c>
      <c r="O698" s="102">
        <f t="shared" si="418"/>
        <v>0</v>
      </c>
      <c r="P698" s="105">
        <f t="shared" si="418"/>
        <v>0</v>
      </c>
      <c r="Q698" s="106"/>
    </row>
    <row r="699" spans="1:18" ht="12.75" customHeight="1">
      <c r="A699" s="113" t="s">
        <v>20</v>
      </c>
      <c r="B699" s="114"/>
      <c r="C699" s="114">
        <f>+H699</f>
        <v>1016</v>
      </c>
      <c r="D699" s="114">
        <f>+B699+C699</f>
        <v>1016</v>
      </c>
      <c r="E699" s="114"/>
      <c r="F699" s="114">
        <v>180</v>
      </c>
      <c r="G699" s="114">
        <v>836</v>
      </c>
      <c r="H699" s="114">
        <f>SUM(E699:G699)</f>
        <v>1016</v>
      </c>
      <c r="I699" s="43"/>
      <c r="J699" s="43">
        <v>180</v>
      </c>
      <c r="K699" s="43">
        <v>836</v>
      </c>
      <c r="L699" s="78">
        <f>SUM(I699:K699)</f>
        <v>1016</v>
      </c>
      <c r="M699" s="114">
        <f t="shared" ref="M699:O700" si="419">+E699-I699</f>
        <v>0</v>
      </c>
      <c r="N699" s="115">
        <f t="shared" si="419"/>
        <v>0</v>
      </c>
      <c r="O699" s="114">
        <f t="shared" si="419"/>
        <v>0</v>
      </c>
      <c r="P699" s="116">
        <f>SUM(M699:O699)</f>
        <v>0</v>
      </c>
      <c r="Q699" s="106"/>
    </row>
    <row r="700" spans="1:18" ht="12.75" customHeight="1">
      <c r="A700" s="113" t="s">
        <v>21</v>
      </c>
      <c r="B700" s="114"/>
      <c r="C700" s="114"/>
      <c r="D700" s="114">
        <f>+B700+C700</f>
        <v>0</v>
      </c>
      <c r="E700" s="114"/>
      <c r="F700" s="114"/>
      <c r="G700" s="114"/>
      <c r="H700" s="114">
        <f>SUM(E700:G700)</f>
        <v>0</v>
      </c>
      <c r="I700" s="43"/>
      <c r="J700" s="43"/>
      <c r="K700" s="43"/>
      <c r="L700" s="78">
        <f>SUM(I700:K700)</f>
        <v>0</v>
      </c>
      <c r="M700" s="114">
        <f t="shared" si="419"/>
        <v>0</v>
      </c>
      <c r="N700" s="115">
        <f t="shared" si="419"/>
        <v>0</v>
      </c>
      <c r="O700" s="114">
        <f t="shared" si="419"/>
        <v>0</v>
      </c>
      <c r="P700" s="116">
        <f>SUM(M700:O700)</f>
        <v>0</v>
      </c>
      <c r="Q700" s="106"/>
    </row>
    <row r="701" spans="1:18" ht="12.75" customHeight="1">
      <c r="A701" s="225"/>
      <c r="B701" s="226"/>
      <c r="C701" s="226"/>
      <c r="D701" s="226"/>
      <c r="E701" s="102"/>
      <c r="F701" s="102"/>
      <c r="G701" s="102"/>
      <c r="H701" s="102"/>
      <c r="I701" s="74"/>
      <c r="J701" s="74"/>
      <c r="K701" s="74"/>
      <c r="L701" s="138"/>
      <c r="M701" s="102"/>
      <c r="N701" s="104"/>
      <c r="O701" s="102"/>
      <c r="P701" s="105"/>
      <c r="Q701" s="227"/>
    </row>
    <row r="702" spans="1:18" ht="12.75" customHeight="1">
      <c r="A702" s="149" t="s">
        <v>298</v>
      </c>
      <c r="B702" s="102">
        <f>+B703+B707</f>
        <v>1124890</v>
      </c>
      <c r="C702" s="102">
        <f>+C703+C707</f>
        <v>178537</v>
      </c>
      <c r="D702" s="102">
        <f>+D703+D707</f>
        <v>1303427</v>
      </c>
      <c r="E702" s="102">
        <f t="shared" ref="E702:P702" si="420">+E703+E707</f>
        <v>790636</v>
      </c>
      <c r="F702" s="102">
        <f t="shared" si="420"/>
        <v>397721</v>
      </c>
      <c r="G702" s="102">
        <f t="shared" si="420"/>
        <v>243734</v>
      </c>
      <c r="H702" s="102">
        <f t="shared" si="420"/>
        <v>1432091</v>
      </c>
      <c r="I702" s="139">
        <f>+I703+I707</f>
        <v>777366</v>
      </c>
      <c r="J702" s="139">
        <f>+J703+J707</f>
        <v>329827</v>
      </c>
      <c r="K702" s="139">
        <f>+K703+K707</f>
        <v>148041</v>
      </c>
      <c r="L702" s="139">
        <f>+L703+L707</f>
        <v>1255234</v>
      </c>
      <c r="M702" s="102">
        <f t="shared" si="420"/>
        <v>13270</v>
      </c>
      <c r="N702" s="104">
        <f t="shared" si="420"/>
        <v>67894</v>
      </c>
      <c r="O702" s="102">
        <f t="shared" si="420"/>
        <v>95693</v>
      </c>
      <c r="P702" s="105">
        <f t="shared" si="420"/>
        <v>176857</v>
      </c>
      <c r="Q702" s="106">
        <f>+L702/H702</f>
        <v>0.87650435621758671</v>
      </c>
    </row>
    <row r="703" spans="1:18" ht="12.75" customHeight="1">
      <c r="A703" s="127" t="s">
        <v>15</v>
      </c>
      <c r="B703" s="108">
        <f>SUM(B704:B706)</f>
        <v>1124890</v>
      </c>
      <c r="C703" s="108">
        <f>SUM(C704:C706)</f>
        <v>178537</v>
      </c>
      <c r="D703" s="108">
        <f>SUM(D704:D706)</f>
        <v>1303427</v>
      </c>
      <c r="E703" s="108">
        <f t="shared" ref="E703:P703" si="421">SUM(E704:E706)</f>
        <v>790636</v>
      </c>
      <c r="F703" s="108">
        <f t="shared" si="421"/>
        <v>380242</v>
      </c>
      <c r="G703" s="108">
        <f t="shared" si="421"/>
        <v>226980</v>
      </c>
      <c r="H703" s="108">
        <f t="shared" si="421"/>
        <v>1397858</v>
      </c>
      <c r="I703" s="141">
        <f>SUM(I704:I706)</f>
        <v>777366</v>
      </c>
      <c r="J703" s="141">
        <f>SUM(J704:J706)</f>
        <v>320691</v>
      </c>
      <c r="K703" s="141">
        <f>SUM(K704:K706)</f>
        <v>131321</v>
      </c>
      <c r="L703" s="141">
        <f>SUM(L704:L706)</f>
        <v>1229378</v>
      </c>
      <c r="M703" s="108">
        <f t="shared" si="421"/>
        <v>13270</v>
      </c>
      <c r="N703" s="111">
        <f t="shared" si="421"/>
        <v>59551</v>
      </c>
      <c r="O703" s="108">
        <f t="shared" si="421"/>
        <v>95659</v>
      </c>
      <c r="P703" s="112">
        <f t="shared" si="421"/>
        <v>168480</v>
      </c>
      <c r="Q703" s="106"/>
    </row>
    <row r="704" spans="1:18" ht="12.75" customHeight="1">
      <c r="A704" s="113" t="s">
        <v>16</v>
      </c>
      <c r="B704" s="114">
        <f t="shared" ref="B704:G706" si="422">+B713+B722+B731+B740+B749</f>
        <v>1064431</v>
      </c>
      <c r="C704" s="114">
        <f t="shared" si="422"/>
        <v>0</v>
      </c>
      <c r="D704" s="114">
        <f t="shared" si="422"/>
        <v>1064431</v>
      </c>
      <c r="E704" s="114">
        <f t="shared" si="422"/>
        <v>679589</v>
      </c>
      <c r="F704" s="114">
        <f t="shared" si="422"/>
        <v>380242</v>
      </c>
      <c r="G704" s="114">
        <f t="shared" si="422"/>
        <v>98606</v>
      </c>
      <c r="H704" s="114">
        <f>SUM(E704:G704)</f>
        <v>1158437</v>
      </c>
      <c r="I704" s="143">
        <f t="shared" ref="I704:K706" si="423">+I713+I722+I731+I740+I749</f>
        <v>669350</v>
      </c>
      <c r="J704" s="143">
        <f t="shared" si="423"/>
        <v>320691</v>
      </c>
      <c r="K704" s="143">
        <f t="shared" si="423"/>
        <v>18585</v>
      </c>
      <c r="L704" s="143">
        <f>SUM(I704:K704)</f>
        <v>1008626</v>
      </c>
      <c r="M704" s="114">
        <f t="shared" ref="M704:O706" si="424">+E704-I704</f>
        <v>10239</v>
      </c>
      <c r="N704" s="115">
        <f t="shared" si="424"/>
        <v>59551</v>
      </c>
      <c r="O704" s="114">
        <f t="shared" si="424"/>
        <v>80021</v>
      </c>
      <c r="P704" s="116">
        <f>SUM(M704:O704)</f>
        <v>149811</v>
      </c>
      <c r="Q704" s="106"/>
    </row>
    <row r="705" spans="1:17" ht="12.75" customHeight="1">
      <c r="A705" s="113" t="s">
        <v>17</v>
      </c>
      <c r="B705" s="114">
        <f t="shared" si="422"/>
        <v>0</v>
      </c>
      <c r="C705" s="114">
        <f t="shared" si="422"/>
        <v>178537</v>
      </c>
      <c r="D705" s="114">
        <f t="shared" si="422"/>
        <v>178537</v>
      </c>
      <c r="E705" s="114">
        <f t="shared" si="422"/>
        <v>50163</v>
      </c>
      <c r="F705" s="114">
        <f t="shared" si="422"/>
        <v>0</v>
      </c>
      <c r="G705" s="114">
        <f t="shared" si="422"/>
        <v>128374</v>
      </c>
      <c r="H705" s="114">
        <f>SUM(E705:G705)</f>
        <v>178537</v>
      </c>
      <c r="I705" s="143">
        <f t="shared" si="423"/>
        <v>49746</v>
      </c>
      <c r="J705" s="143">
        <f t="shared" si="423"/>
        <v>0</v>
      </c>
      <c r="K705" s="143">
        <f t="shared" si="423"/>
        <v>112736</v>
      </c>
      <c r="L705" s="143">
        <f>SUM(I705:K705)</f>
        <v>162482</v>
      </c>
      <c r="M705" s="114">
        <f t="shared" si="424"/>
        <v>417</v>
      </c>
      <c r="N705" s="115">
        <f t="shared" si="424"/>
        <v>0</v>
      </c>
      <c r="O705" s="114">
        <f t="shared" si="424"/>
        <v>15638</v>
      </c>
      <c r="P705" s="116">
        <f>SUM(M705:O705)</f>
        <v>16055</v>
      </c>
      <c r="Q705" s="106"/>
    </row>
    <row r="706" spans="1:17" ht="12.75" customHeight="1">
      <c r="A706" s="113" t="s">
        <v>18</v>
      </c>
      <c r="B706" s="114">
        <f t="shared" si="422"/>
        <v>60459</v>
      </c>
      <c r="C706" s="114">
        <f t="shared" si="422"/>
        <v>0</v>
      </c>
      <c r="D706" s="114">
        <f t="shared" si="422"/>
        <v>60459</v>
      </c>
      <c r="E706" s="114">
        <f t="shared" si="422"/>
        <v>60884</v>
      </c>
      <c r="F706" s="114">
        <f t="shared" si="422"/>
        <v>0</v>
      </c>
      <c r="G706" s="114">
        <f t="shared" si="422"/>
        <v>0</v>
      </c>
      <c r="H706" s="114">
        <f>SUM(E706:G706)</f>
        <v>60884</v>
      </c>
      <c r="I706" s="143">
        <f t="shared" si="423"/>
        <v>58270</v>
      </c>
      <c r="J706" s="143">
        <f t="shared" si="423"/>
        <v>0</v>
      </c>
      <c r="K706" s="143">
        <f t="shared" si="423"/>
        <v>0</v>
      </c>
      <c r="L706" s="143">
        <f>SUM(I706:K706)</f>
        <v>58270</v>
      </c>
      <c r="M706" s="114">
        <f t="shared" si="424"/>
        <v>2614</v>
      </c>
      <c r="N706" s="115">
        <f t="shared" si="424"/>
        <v>0</v>
      </c>
      <c r="O706" s="114">
        <f t="shared" si="424"/>
        <v>0</v>
      </c>
      <c r="P706" s="116">
        <f>SUM(M706:O706)</f>
        <v>2614</v>
      </c>
      <c r="Q706" s="106"/>
    </row>
    <row r="707" spans="1:17" ht="12.75" customHeight="1">
      <c r="A707" s="113" t="s">
        <v>19</v>
      </c>
      <c r="B707" s="102">
        <f>SUM(B708:B709)</f>
        <v>0</v>
      </c>
      <c r="C707" s="102">
        <f>SUM(C708:C709)</f>
        <v>0</v>
      </c>
      <c r="D707" s="102">
        <f>SUM(D708:D709)</f>
        <v>0</v>
      </c>
      <c r="E707" s="102">
        <f t="shared" ref="E707:P707" si="425">SUM(E708:E709)</f>
        <v>0</v>
      </c>
      <c r="F707" s="102">
        <f t="shared" si="425"/>
        <v>17479</v>
      </c>
      <c r="G707" s="102">
        <f t="shared" si="425"/>
        <v>16754</v>
      </c>
      <c r="H707" s="102">
        <f t="shared" si="425"/>
        <v>34233</v>
      </c>
      <c r="I707" s="139">
        <f>SUM(I708:I709)</f>
        <v>0</v>
      </c>
      <c r="J707" s="139">
        <f>SUM(J708:J709)</f>
        <v>9136</v>
      </c>
      <c r="K707" s="139">
        <f>SUM(K708:K709)</f>
        <v>16720</v>
      </c>
      <c r="L707" s="139">
        <f>SUM(L708:L709)</f>
        <v>25856</v>
      </c>
      <c r="M707" s="102">
        <f t="shared" si="425"/>
        <v>0</v>
      </c>
      <c r="N707" s="104">
        <f t="shared" si="425"/>
        <v>8343</v>
      </c>
      <c r="O707" s="102">
        <f t="shared" si="425"/>
        <v>34</v>
      </c>
      <c r="P707" s="105">
        <f t="shared" si="425"/>
        <v>8377</v>
      </c>
      <c r="Q707" s="106"/>
    </row>
    <row r="708" spans="1:17" ht="12.75" customHeight="1">
      <c r="A708" s="113" t="s">
        <v>20</v>
      </c>
      <c r="B708" s="114">
        <f t="shared" ref="B708:G709" si="426">+B717+B726+B735+B744+B753</f>
        <v>0</v>
      </c>
      <c r="C708" s="114">
        <f t="shared" si="426"/>
        <v>0</v>
      </c>
      <c r="D708" s="114">
        <f t="shared" si="426"/>
        <v>0</v>
      </c>
      <c r="E708" s="114">
        <f t="shared" si="426"/>
        <v>0</v>
      </c>
      <c r="F708" s="114">
        <f t="shared" si="426"/>
        <v>17479</v>
      </c>
      <c r="G708" s="114">
        <f t="shared" si="426"/>
        <v>16754</v>
      </c>
      <c r="H708" s="114">
        <f>SUM(E708:G708)</f>
        <v>34233</v>
      </c>
      <c r="I708" s="143">
        <f t="shared" ref="I708:K709" si="427">+I717+I726+I735+I744+I753</f>
        <v>0</v>
      </c>
      <c r="J708" s="143">
        <f t="shared" si="427"/>
        <v>9136</v>
      </c>
      <c r="K708" s="143">
        <f t="shared" si="427"/>
        <v>16720</v>
      </c>
      <c r="L708" s="143">
        <f>SUM(I708:K708)</f>
        <v>25856</v>
      </c>
      <c r="M708" s="114">
        <f t="shared" ref="M708:O709" si="428">+E708-I708</f>
        <v>0</v>
      </c>
      <c r="N708" s="115">
        <f t="shared" si="428"/>
        <v>8343</v>
      </c>
      <c r="O708" s="114">
        <f t="shared" si="428"/>
        <v>34</v>
      </c>
      <c r="P708" s="116">
        <f>SUM(M708:O708)</f>
        <v>8377</v>
      </c>
      <c r="Q708" s="106"/>
    </row>
    <row r="709" spans="1:17" ht="12.75" customHeight="1">
      <c r="A709" s="113" t="s">
        <v>21</v>
      </c>
      <c r="B709" s="114">
        <f t="shared" si="426"/>
        <v>0</v>
      </c>
      <c r="C709" s="114">
        <f t="shared" si="426"/>
        <v>0</v>
      </c>
      <c r="D709" s="114">
        <f t="shared" si="426"/>
        <v>0</v>
      </c>
      <c r="E709" s="114">
        <f t="shared" si="426"/>
        <v>0</v>
      </c>
      <c r="F709" s="114">
        <f t="shared" si="426"/>
        <v>0</v>
      </c>
      <c r="G709" s="114">
        <f t="shared" si="426"/>
        <v>0</v>
      </c>
      <c r="H709" s="114">
        <f>SUM(E709:G709)</f>
        <v>0</v>
      </c>
      <c r="I709" s="143">
        <f t="shared" si="427"/>
        <v>0</v>
      </c>
      <c r="J709" s="143">
        <f t="shared" si="427"/>
        <v>0</v>
      </c>
      <c r="K709" s="143">
        <f t="shared" si="427"/>
        <v>0</v>
      </c>
      <c r="L709" s="143">
        <f>SUM(I709:K709)</f>
        <v>0</v>
      </c>
      <c r="M709" s="114">
        <f t="shared" si="428"/>
        <v>0</v>
      </c>
      <c r="N709" s="115">
        <f t="shared" si="428"/>
        <v>0</v>
      </c>
      <c r="O709" s="114">
        <f t="shared" si="428"/>
        <v>0</v>
      </c>
      <c r="P709" s="116">
        <f>SUM(M709:O709)</f>
        <v>0</v>
      </c>
      <c r="Q709" s="106"/>
    </row>
    <row r="710" spans="1:17" ht="12.75" customHeight="1">
      <c r="A710" s="149"/>
      <c r="B710" s="150"/>
      <c r="C710" s="150"/>
      <c r="D710" s="150"/>
      <c r="E710" s="114"/>
      <c r="F710" s="114"/>
      <c r="G710" s="114"/>
      <c r="H710" s="114"/>
      <c r="I710" s="43"/>
      <c r="J710" s="43"/>
      <c r="K710" s="43"/>
      <c r="L710" s="78"/>
      <c r="M710" s="114"/>
      <c r="N710" s="115"/>
      <c r="O710" s="114"/>
      <c r="P710" s="116"/>
      <c r="Q710" s="106"/>
    </row>
    <row r="711" spans="1:17">
      <c r="A711" s="120" t="s">
        <v>299</v>
      </c>
      <c r="B711" s="102">
        <f>+B712+B716</f>
        <v>224384</v>
      </c>
      <c r="C711" s="102">
        <f>+C712+C716</f>
        <v>118753</v>
      </c>
      <c r="D711" s="102">
        <f>+D712+D716</f>
        <v>343137</v>
      </c>
      <c r="E711" s="102">
        <f t="shared" ref="E711:P711" si="429">+E712+E716</f>
        <v>150981</v>
      </c>
      <c r="F711" s="102">
        <f t="shared" si="429"/>
        <v>79420</v>
      </c>
      <c r="G711" s="102">
        <f t="shared" si="429"/>
        <v>112736</v>
      </c>
      <c r="H711" s="102">
        <f t="shared" si="429"/>
        <v>343137</v>
      </c>
      <c r="I711" s="45">
        <f t="shared" si="429"/>
        <v>149497</v>
      </c>
      <c r="J711" s="45">
        <f t="shared" si="429"/>
        <v>79352</v>
      </c>
      <c r="K711" s="45">
        <f t="shared" si="429"/>
        <v>112736</v>
      </c>
      <c r="L711" s="103">
        <f t="shared" si="429"/>
        <v>341585</v>
      </c>
      <c r="M711" s="102">
        <f t="shared" si="429"/>
        <v>1484</v>
      </c>
      <c r="N711" s="104">
        <f t="shared" si="429"/>
        <v>68</v>
      </c>
      <c r="O711" s="102">
        <f t="shared" si="429"/>
        <v>0</v>
      </c>
      <c r="P711" s="105">
        <f t="shared" si="429"/>
        <v>1552</v>
      </c>
      <c r="Q711" s="106">
        <f>+L711/H711</f>
        <v>0.9954770252115045</v>
      </c>
    </row>
    <row r="712" spans="1:17" ht="12.75" customHeight="1">
      <c r="A712" s="127" t="s">
        <v>15</v>
      </c>
      <c r="B712" s="108">
        <f>SUM(B713:B715)</f>
        <v>224384</v>
      </c>
      <c r="C712" s="108">
        <f>SUM(C713:C715)</f>
        <v>118753</v>
      </c>
      <c r="D712" s="108">
        <f>SUM(D713:D715)</f>
        <v>343137</v>
      </c>
      <c r="E712" s="108">
        <f t="shared" ref="E712:P712" si="430">SUM(E713:E715)</f>
        <v>150981</v>
      </c>
      <c r="F712" s="108">
        <f t="shared" si="430"/>
        <v>79420</v>
      </c>
      <c r="G712" s="108">
        <f t="shared" si="430"/>
        <v>112736</v>
      </c>
      <c r="H712" s="108">
        <f t="shared" si="430"/>
        <v>343137</v>
      </c>
      <c r="I712" s="109">
        <f>SUM(I713:I715)</f>
        <v>149497</v>
      </c>
      <c r="J712" s="109">
        <f>SUM(J713:J715)</f>
        <v>79352</v>
      </c>
      <c r="K712" s="109">
        <f>SUM(K713:K715)</f>
        <v>112736</v>
      </c>
      <c r="L712" s="110">
        <f>SUM(L713:L715)</f>
        <v>341585</v>
      </c>
      <c r="M712" s="108">
        <f t="shared" si="430"/>
        <v>1484</v>
      </c>
      <c r="N712" s="111">
        <f t="shared" si="430"/>
        <v>68</v>
      </c>
      <c r="O712" s="108">
        <f t="shared" si="430"/>
        <v>0</v>
      </c>
      <c r="P712" s="112">
        <f t="shared" si="430"/>
        <v>1552</v>
      </c>
      <c r="Q712" s="106"/>
    </row>
    <row r="713" spans="1:17" ht="12.75" customHeight="1">
      <c r="A713" s="113" t="s">
        <v>16</v>
      </c>
      <c r="B713" s="114">
        <v>212897</v>
      </c>
      <c r="C713" s="114"/>
      <c r="D713" s="114">
        <f>+B713+C713</f>
        <v>212897</v>
      </c>
      <c r="E713" s="114">
        <v>133477</v>
      </c>
      <c r="F713" s="114">
        <v>79420</v>
      </c>
      <c r="G713" s="114"/>
      <c r="H713" s="114">
        <f>SUM(E713:G713)</f>
        <v>212897</v>
      </c>
      <c r="I713" s="43">
        <v>132701</v>
      </c>
      <c r="J713" s="43">
        <v>79352</v>
      </c>
      <c r="K713" s="43"/>
      <c r="L713" s="78">
        <f>SUM(I713:K713)</f>
        <v>212053</v>
      </c>
      <c r="M713" s="114">
        <f t="shared" ref="M713:O715" si="431">+E713-I713</f>
        <v>776</v>
      </c>
      <c r="N713" s="115">
        <f t="shared" si="431"/>
        <v>68</v>
      </c>
      <c r="O713" s="114">
        <f t="shared" si="431"/>
        <v>0</v>
      </c>
      <c r="P713" s="116">
        <f>SUM(M713:O713)</f>
        <v>844</v>
      </c>
      <c r="Q713" s="106"/>
    </row>
    <row r="714" spans="1:17" ht="12.75" customHeight="1">
      <c r="A714" s="113" t="s">
        <v>17</v>
      </c>
      <c r="B714" s="114"/>
      <c r="C714" s="114">
        <f>+H714</f>
        <v>118753</v>
      </c>
      <c r="D714" s="114">
        <f>+B714+C714</f>
        <v>118753</v>
      </c>
      <c r="E714" s="114">
        <v>6017</v>
      </c>
      <c r="F714" s="114"/>
      <c r="G714" s="114">
        <v>112736</v>
      </c>
      <c r="H714" s="114">
        <f>SUM(E714:G714)</f>
        <v>118753</v>
      </c>
      <c r="I714" s="43">
        <f>179+1665+3905</f>
        <v>5749</v>
      </c>
      <c r="J714" s="43"/>
      <c r="K714" s="43">
        <v>112736</v>
      </c>
      <c r="L714" s="78">
        <f>SUM(I714:K714)</f>
        <v>118485</v>
      </c>
      <c r="M714" s="114">
        <f t="shared" si="431"/>
        <v>268</v>
      </c>
      <c r="N714" s="115">
        <f t="shared" si="431"/>
        <v>0</v>
      </c>
      <c r="O714" s="114">
        <f t="shared" si="431"/>
        <v>0</v>
      </c>
      <c r="P714" s="116">
        <f>SUM(M714:O714)</f>
        <v>268</v>
      </c>
      <c r="Q714" s="106"/>
    </row>
    <row r="715" spans="1:17" ht="12.75" customHeight="1">
      <c r="A715" s="113" t="s">
        <v>18</v>
      </c>
      <c r="B715" s="114">
        <v>11487</v>
      </c>
      <c r="C715" s="114"/>
      <c r="D715" s="114">
        <f>+B715+C715</f>
        <v>11487</v>
      </c>
      <c r="E715" s="114">
        <v>11487</v>
      </c>
      <c r="F715" s="114"/>
      <c r="G715" s="114"/>
      <c r="H715" s="114">
        <f>SUM(E715:G715)</f>
        <v>11487</v>
      </c>
      <c r="I715" s="43">
        <v>11047</v>
      </c>
      <c r="J715" s="43"/>
      <c r="K715" s="43"/>
      <c r="L715" s="78">
        <f>SUM(I715:K715)</f>
        <v>11047</v>
      </c>
      <c r="M715" s="114">
        <f t="shared" si="431"/>
        <v>440</v>
      </c>
      <c r="N715" s="115">
        <f t="shared" si="431"/>
        <v>0</v>
      </c>
      <c r="O715" s="114">
        <f t="shared" si="431"/>
        <v>0</v>
      </c>
      <c r="P715" s="116">
        <f>SUM(M715:O715)</f>
        <v>440</v>
      </c>
      <c r="Q715" s="106"/>
    </row>
    <row r="716" spans="1:17" ht="12.75" customHeight="1">
      <c r="A716" s="113" t="s">
        <v>19</v>
      </c>
      <c r="B716" s="102">
        <f>SUM(B717:B718)</f>
        <v>0</v>
      </c>
      <c r="C716" s="102">
        <f>SUM(C717:C718)</f>
        <v>0</v>
      </c>
      <c r="D716" s="102">
        <f>SUM(D717:D718)</f>
        <v>0</v>
      </c>
      <c r="E716" s="102">
        <f t="shared" ref="E716:P716" si="432">SUM(E717:E718)</f>
        <v>0</v>
      </c>
      <c r="F716" s="102">
        <f t="shared" si="432"/>
        <v>0</v>
      </c>
      <c r="G716" s="102">
        <f t="shared" si="432"/>
        <v>0</v>
      </c>
      <c r="H716" s="102">
        <f t="shared" si="432"/>
        <v>0</v>
      </c>
      <c r="I716" s="45">
        <f>SUM(I717:I718)</f>
        <v>0</v>
      </c>
      <c r="J716" s="45">
        <f>SUM(J717:J718)</f>
        <v>0</v>
      </c>
      <c r="K716" s="45">
        <f>SUM(K717:K718)</f>
        <v>0</v>
      </c>
      <c r="L716" s="103">
        <f>SUM(L717:L718)</f>
        <v>0</v>
      </c>
      <c r="M716" s="102">
        <f t="shared" si="432"/>
        <v>0</v>
      </c>
      <c r="N716" s="104">
        <f t="shared" si="432"/>
        <v>0</v>
      </c>
      <c r="O716" s="102">
        <f t="shared" si="432"/>
        <v>0</v>
      </c>
      <c r="P716" s="105">
        <f t="shared" si="432"/>
        <v>0</v>
      </c>
      <c r="Q716" s="106"/>
    </row>
    <row r="717" spans="1:17" ht="12.75" customHeight="1">
      <c r="A717" s="113" t="s">
        <v>20</v>
      </c>
      <c r="B717" s="114"/>
      <c r="C717" s="114"/>
      <c r="D717" s="114">
        <f>+B717+C717</f>
        <v>0</v>
      </c>
      <c r="E717" s="114"/>
      <c r="F717" s="114"/>
      <c r="G717" s="114"/>
      <c r="H717" s="114">
        <f>SUM(E717:G717)</f>
        <v>0</v>
      </c>
      <c r="I717" s="43"/>
      <c r="J717" s="43"/>
      <c r="K717" s="43"/>
      <c r="L717" s="78">
        <f>SUM(I717:K717)</f>
        <v>0</v>
      </c>
      <c r="M717" s="114">
        <f t="shared" ref="M717:O718" si="433">+E717-I717</f>
        <v>0</v>
      </c>
      <c r="N717" s="115">
        <f t="shared" si="433"/>
        <v>0</v>
      </c>
      <c r="O717" s="114">
        <f t="shared" si="433"/>
        <v>0</v>
      </c>
      <c r="P717" s="116">
        <f>SUM(M717:O717)</f>
        <v>0</v>
      </c>
      <c r="Q717" s="106"/>
    </row>
    <row r="718" spans="1:17" ht="12.75" customHeight="1">
      <c r="A718" s="113" t="s">
        <v>21</v>
      </c>
      <c r="B718" s="114"/>
      <c r="C718" s="114"/>
      <c r="D718" s="114">
        <f>+B718+C718</f>
        <v>0</v>
      </c>
      <c r="E718" s="114"/>
      <c r="F718" s="114"/>
      <c r="G718" s="114"/>
      <c r="H718" s="114">
        <f>SUM(E718:G718)</f>
        <v>0</v>
      </c>
      <c r="I718" s="43"/>
      <c r="J718" s="43"/>
      <c r="K718" s="43"/>
      <c r="L718" s="78">
        <f>SUM(I718:K718)</f>
        <v>0</v>
      </c>
      <c r="M718" s="114">
        <f t="shared" si="433"/>
        <v>0</v>
      </c>
      <c r="N718" s="115">
        <f t="shared" si="433"/>
        <v>0</v>
      </c>
      <c r="O718" s="114">
        <f t="shared" si="433"/>
        <v>0</v>
      </c>
      <c r="P718" s="116">
        <f>SUM(M718:O718)</f>
        <v>0</v>
      </c>
      <c r="Q718" s="106"/>
    </row>
    <row r="719" spans="1:17" ht="12.75" customHeight="1">
      <c r="A719" s="121"/>
      <c r="B719" s="122"/>
      <c r="C719" s="122"/>
      <c r="D719" s="122"/>
      <c r="E719" s="114"/>
      <c r="F719" s="114"/>
      <c r="G719" s="114"/>
      <c r="H719" s="114"/>
      <c r="I719" s="43"/>
      <c r="J719" s="43"/>
      <c r="K719" s="43"/>
      <c r="L719" s="78"/>
      <c r="M719" s="114"/>
      <c r="N719" s="115"/>
      <c r="O719" s="114"/>
      <c r="P719" s="116"/>
      <c r="Q719" s="106"/>
    </row>
    <row r="720" spans="1:17" ht="12.75" customHeight="1">
      <c r="A720" s="120" t="s">
        <v>300</v>
      </c>
      <c r="B720" s="102">
        <f>+B721+B725</f>
        <v>185707</v>
      </c>
      <c r="C720" s="102">
        <f>+C721+C725</f>
        <v>6995</v>
      </c>
      <c r="D720" s="102">
        <f>+D721+D725</f>
        <v>192702</v>
      </c>
      <c r="E720" s="102">
        <f t="shared" ref="E720:P720" si="434">+E721+E725</f>
        <v>93944</v>
      </c>
      <c r="F720" s="102">
        <f t="shared" si="434"/>
        <v>95326</v>
      </c>
      <c r="G720" s="102">
        <f t="shared" si="434"/>
        <v>67641</v>
      </c>
      <c r="H720" s="102">
        <f t="shared" si="434"/>
        <v>256911</v>
      </c>
      <c r="I720" s="45">
        <f t="shared" si="434"/>
        <v>89344</v>
      </c>
      <c r="J720" s="45">
        <f t="shared" si="434"/>
        <v>53397</v>
      </c>
      <c r="K720" s="45">
        <f t="shared" si="434"/>
        <v>19023</v>
      </c>
      <c r="L720" s="103">
        <f t="shared" si="434"/>
        <v>161764</v>
      </c>
      <c r="M720" s="102">
        <f t="shared" si="434"/>
        <v>4600</v>
      </c>
      <c r="N720" s="104">
        <f t="shared" si="434"/>
        <v>41929</v>
      </c>
      <c r="O720" s="102">
        <f t="shared" si="434"/>
        <v>48618</v>
      </c>
      <c r="P720" s="105">
        <f t="shared" si="434"/>
        <v>95147</v>
      </c>
      <c r="Q720" s="106">
        <f>+L720/H720</f>
        <v>0.62964995659975631</v>
      </c>
    </row>
    <row r="721" spans="1:17" ht="12.75" customHeight="1">
      <c r="A721" s="127" t="s">
        <v>15</v>
      </c>
      <c r="B721" s="108">
        <f>SUM(B722:B724)</f>
        <v>185707</v>
      </c>
      <c r="C721" s="108">
        <f>SUM(C722:C724)</f>
        <v>6995</v>
      </c>
      <c r="D721" s="108">
        <f>SUM(D722:D724)</f>
        <v>192702</v>
      </c>
      <c r="E721" s="108">
        <f t="shared" ref="E721:P721" si="435">SUM(E722:E724)</f>
        <v>93944</v>
      </c>
      <c r="F721" s="108">
        <f t="shared" si="435"/>
        <v>95326</v>
      </c>
      <c r="G721" s="108">
        <f t="shared" si="435"/>
        <v>50921</v>
      </c>
      <c r="H721" s="108">
        <f t="shared" si="435"/>
        <v>240191</v>
      </c>
      <c r="I721" s="109">
        <f>SUM(I722:I724)</f>
        <v>89344</v>
      </c>
      <c r="J721" s="109">
        <f>SUM(J722:J724)</f>
        <v>53397</v>
      </c>
      <c r="K721" s="109">
        <f>SUM(K722:K724)</f>
        <v>2303</v>
      </c>
      <c r="L721" s="110">
        <f>SUM(L722:L724)</f>
        <v>145044</v>
      </c>
      <c r="M721" s="108">
        <f t="shared" si="435"/>
        <v>4600</v>
      </c>
      <c r="N721" s="111">
        <f t="shared" si="435"/>
        <v>41929</v>
      </c>
      <c r="O721" s="108">
        <f t="shared" si="435"/>
        <v>48618</v>
      </c>
      <c r="P721" s="112">
        <f t="shared" si="435"/>
        <v>95147</v>
      </c>
      <c r="Q721" s="106"/>
    </row>
    <row r="722" spans="1:17" ht="12.75" customHeight="1">
      <c r="A722" s="113" t="s">
        <v>16</v>
      </c>
      <c r="B722" s="114">
        <v>178880</v>
      </c>
      <c r="C722" s="114"/>
      <c r="D722" s="114">
        <f>+B722+C722</f>
        <v>178880</v>
      </c>
      <c r="E722" s="114">
        <v>81254</v>
      </c>
      <c r="F722" s="114">
        <v>95326</v>
      </c>
      <c r="G722" s="114">
        <v>49683</v>
      </c>
      <c r="H722" s="114">
        <f>SUM(E722:G722)</f>
        <v>226263</v>
      </c>
      <c r="I722" s="43">
        <v>77013</v>
      </c>
      <c r="J722" s="43">
        <v>53397</v>
      </c>
      <c r="K722" s="43">
        <v>2303</v>
      </c>
      <c r="L722" s="78">
        <f>SUM(I722:K722)</f>
        <v>132713</v>
      </c>
      <c r="M722" s="114">
        <f t="shared" ref="M722:O724" si="436">+E722-I722</f>
        <v>4241</v>
      </c>
      <c r="N722" s="115">
        <f t="shared" si="436"/>
        <v>41929</v>
      </c>
      <c r="O722" s="114">
        <f t="shared" si="436"/>
        <v>47380</v>
      </c>
      <c r="P722" s="116">
        <f>SUM(M722:O722)</f>
        <v>93550</v>
      </c>
      <c r="Q722" s="106"/>
    </row>
    <row r="723" spans="1:17" ht="12.75" customHeight="1">
      <c r="A723" s="113" t="s">
        <v>17</v>
      </c>
      <c r="B723" s="114"/>
      <c r="C723" s="114">
        <f>+H723</f>
        <v>6995</v>
      </c>
      <c r="D723" s="114">
        <f>+B723+C723</f>
        <v>6995</v>
      </c>
      <c r="E723" s="114">
        <v>5757</v>
      </c>
      <c r="F723" s="114"/>
      <c r="G723" s="114">
        <v>1238</v>
      </c>
      <c r="H723" s="114">
        <f>SUM(E723:G723)</f>
        <v>6995</v>
      </c>
      <c r="I723" s="43">
        <v>5757</v>
      </c>
      <c r="J723" s="43"/>
      <c r="K723" s="43"/>
      <c r="L723" s="78">
        <f>SUM(I723:K723)</f>
        <v>5757</v>
      </c>
      <c r="M723" s="114">
        <f t="shared" si="436"/>
        <v>0</v>
      </c>
      <c r="N723" s="115">
        <f t="shared" si="436"/>
        <v>0</v>
      </c>
      <c r="O723" s="114">
        <f t="shared" si="436"/>
        <v>1238</v>
      </c>
      <c r="P723" s="116">
        <f>SUM(M723:O723)</f>
        <v>1238</v>
      </c>
      <c r="Q723" s="106"/>
    </row>
    <row r="724" spans="1:17" ht="12.75" customHeight="1">
      <c r="A724" s="113" t="s">
        <v>18</v>
      </c>
      <c r="B724" s="114">
        <v>6827</v>
      </c>
      <c r="C724" s="114"/>
      <c r="D724" s="114">
        <f>+B724+C724</f>
        <v>6827</v>
      </c>
      <c r="E724" s="114">
        <v>6933</v>
      </c>
      <c r="F724" s="114"/>
      <c r="G724" s="114"/>
      <c r="H724" s="114">
        <f>SUM(E724:G724)</f>
        <v>6933</v>
      </c>
      <c r="I724" s="43">
        <v>6574</v>
      </c>
      <c r="J724" s="43"/>
      <c r="K724" s="43"/>
      <c r="L724" s="78">
        <f>SUM(I724:K724)</f>
        <v>6574</v>
      </c>
      <c r="M724" s="114">
        <f t="shared" si="436"/>
        <v>359</v>
      </c>
      <c r="N724" s="115">
        <f t="shared" si="436"/>
        <v>0</v>
      </c>
      <c r="O724" s="114">
        <f t="shared" si="436"/>
        <v>0</v>
      </c>
      <c r="P724" s="116">
        <f>SUM(M724:O724)</f>
        <v>359</v>
      </c>
      <c r="Q724" s="106"/>
    </row>
    <row r="725" spans="1:17" ht="12.75" customHeight="1">
      <c r="A725" s="113" t="s">
        <v>19</v>
      </c>
      <c r="B725" s="102">
        <f>SUM(B726:B727)</f>
        <v>0</v>
      </c>
      <c r="C725" s="102">
        <f>SUM(C726:C727)</f>
        <v>0</v>
      </c>
      <c r="D725" s="102">
        <f>SUM(D726:D727)</f>
        <v>0</v>
      </c>
      <c r="E725" s="102">
        <f t="shared" ref="E725:P725" si="437">SUM(E726:E727)</f>
        <v>0</v>
      </c>
      <c r="F725" s="102">
        <f t="shared" si="437"/>
        <v>0</v>
      </c>
      <c r="G725" s="102">
        <f t="shared" si="437"/>
        <v>16720</v>
      </c>
      <c r="H725" s="102">
        <f t="shared" si="437"/>
        <v>16720</v>
      </c>
      <c r="I725" s="45">
        <f>SUM(I726:I727)</f>
        <v>0</v>
      </c>
      <c r="J725" s="45">
        <f>SUM(J726:J727)</f>
        <v>0</v>
      </c>
      <c r="K725" s="45">
        <f>SUM(K726:K727)</f>
        <v>16720</v>
      </c>
      <c r="L725" s="103">
        <f>SUM(L726:L727)</f>
        <v>16720</v>
      </c>
      <c r="M725" s="102">
        <f t="shared" si="437"/>
        <v>0</v>
      </c>
      <c r="N725" s="104">
        <f t="shared" si="437"/>
        <v>0</v>
      </c>
      <c r="O725" s="102">
        <f t="shared" si="437"/>
        <v>0</v>
      </c>
      <c r="P725" s="105">
        <f t="shared" si="437"/>
        <v>0</v>
      </c>
      <c r="Q725" s="106"/>
    </row>
    <row r="726" spans="1:17" ht="12.75" customHeight="1">
      <c r="A726" s="113" t="s">
        <v>20</v>
      </c>
      <c r="B726" s="114"/>
      <c r="C726" s="114"/>
      <c r="D726" s="114">
        <f>+B726+C726</f>
        <v>0</v>
      </c>
      <c r="E726" s="114"/>
      <c r="F726" s="114"/>
      <c r="G726" s="114">
        <v>16720</v>
      </c>
      <c r="H726" s="114">
        <f>SUM(E726:G726)</f>
        <v>16720</v>
      </c>
      <c r="I726" s="43"/>
      <c r="J726" s="43"/>
      <c r="K726" s="43">
        <v>16720</v>
      </c>
      <c r="L726" s="78">
        <f>SUM(I726:K726)</f>
        <v>16720</v>
      </c>
      <c r="M726" s="114">
        <f t="shared" ref="M726:O727" si="438">+E726-I726</f>
        <v>0</v>
      </c>
      <c r="N726" s="115">
        <f t="shared" si="438"/>
        <v>0</v>
      </c>
      <c r="O726" s="114">
        <f t="shared" si="438"/>
        <v>0</v>
      </c>
      <c r="P726" s="116">
        <f>SUM(M726:O726)</f>
        <v>0</v>
      </c>
      <c r="Q726" s="106"/>
    </row>
    <row r="727" spans="1:17" ht="12.75" customHeight="1">
      <c r="A727" s="113" t="s">
        <v>21</v>
      </c>
      <c r="B727" s="114"/>
      <c r="C727" s="114">
        <f>+H727</f>
        <v>0</v>
      </c>
      <c r="D727" s="114">
        <f>+B727+C727</f>
        <v>0</v>
      </c>
      <c r="E727" s="114"/>
      <c r="F727" s="114"/>
      <c r="G727" s="114"/>
      <c r="H727" s="114">
        <f>SUM(E727:G727)</f>
        <v>0</v>
      </c>
      <c r="I727" s="43"/>
      <c r="J727" s="43"/>
      <c r="K727" s="43"/>
      <c r="L727" s="78">
        <f>SUM(I727:K727)</f>
        <v>0</v>
      </c>
      <c r="M727" s="114">
        <f t="shared" si="438"/>
        <v>0</v>
      </c>
      <c r="N727" s="115">
        <f t="shared" si="438"/>
        <v>0</v>
      </c>
      <c r="O727" s="114">
        <f t="shared" si="438"/>
        <v>0</v>
      </c>
      <c r="P727" s="116">
        <f>SUM(M727:O727)</f>
        <v>0</v>
      </c>
      <c r="Q727" s="106"/>
    </row>
    <row r="728" spans="1:17" ht="12.75" customHeight="1">
      <c r="A728" s="121"/>
      <c r="B728" s="122"/>
      <c r="C728" s="122"/>
      <c r="D728" s="122"/>
      <c r="E728" s="114"/>
      <c r="F728" s="114"/>
      <c r="G728" s="114"/>
      <c r="H728" s="114"/>
      <c r="I728" s="43"/>
      <c r="J728" s="43"/>
      <c r="K728" s="43"/>
      <c r="L728" s="78"/>
      <c r="M728" s="114"/>
      <c r="N728" s="115"/>
      <c r="O728" s="114"/>
      <c r="P728" s="116"/>
      <c r="Q728" s="106"/>
    </row>
    <row r="729" spans="1:17">
      <c r="A729" s="120" t="s">
        <v>301</v>
      </c>
      <c r="B729" s="102">
        <f>+B730+B734</f>
        <v>439939</v>
      </c>
      <c r="C729" s="102">
        <f>+C730+C734</f>
        <v>39552</v>
      </c>
      <c r="D729" s="102">
        <f>+D730+D734</f>
        <v>479491</v>
      </c>
      <c r="E729" s="102">
        <f t="shared" ref="E729:P729" si="439">+E730+E734</f>
        <v>333560</v>
      </c>
      <c r="F729" s="102">
        <f t="shared" si="439"/>
        <v>135039</v>
      </c>
      <c r="G729" s="102">
        <f t="shared" si="439"/>
        <v>57352</v>
      </c>
      <c r="H729" s="102">
        <f t="shared" si="439"/>
        <v>525951</v>
      </c>
      <c r="I729" s="45">
        <f t="shared" si="439"/>
        <v>332640</v>
      </c>
      <c r="J729" s="45">
        <f t="shared" si="439"/>
        <v>127354</v>
      </c>
      <c r="K729" s="45">
        <f t="shared" si="439"/>
        <v>16282</v>
      </c>
      <c r="L729" s="103">
        <f t="shared" si="439"/>
        <v>476276</v>
      </c>
      <c r="M729" s="102">
        <f t="shared" si="439"/>
        <v>920</v>
      </c>
      <c r="N729" s="104">
        <f t="shared" si="439"/>
        <v>7685</v>
      </c>
      <c r="O729" s="102">
        <f t="shared" si="439"/>
        <v>41070</v>
      </c>
      <c r="P729" s="105">
        <f t="shared" si="439"/>
        <v>49675</v>
      </c>
      <c r="Q729" s="106">
        <f>+L729/H729</f>
        <v>0.90555203811761931</v>
      </c>
    </row>
    <row r="730" spans="1:17" ht="12.75" customHeight="1">
      <c r="A730" s="127" t="s">
        <v>15</v>
      </c>
      <c r="B730" s="108">
        <f>SUM(B731:B733)</f>
        <v>439939</v>
      </c>
      <c r="C730" s="108">
        <f>SUM(C731:C733)</f>
        <v>39552</v>
      </c>
      <c r="D730" s="108">
        <f>SUM(D731:D733)</f>
        <v>479491</v>
      </c>
      <c r="E730" s="108">
        <f t="shared" ref="E730:P730" si="440">SUM(E731:E733)</f>
        <v>333560</v>
      </c>
      <c r="F730" s="108">
        <f t="shared" si="440"/>
        <v>129550</v>
      </c>
      <c r="G730" s="108">
        <f t="shared" si="440"/>
        <v>57318</v>
      </c>
      <c r="H730" s="108">
        <f t="shared" si="440"/>
        <v>520428</v>
      </c>
      <c r="I730" s="109">
        <f>SUM(I731:I733)</f>
        <v>332640</v>
      </c>
      <c r="J730" s="109">
        <f>SUM(J731:J733)</f>
        <v>121865</v>
      </c>
      <c r="K730" s="109">
        <f>SUM(K731:K733)</f>
        <v>16282</v>
      </c>
      <c r="L730" s="110">
        <f>SUM(L731:L733)</f>
        <v>470787</v>
      </c>
      <c r="M730" s="108">
        <f t="shared" si="440"/>
        <v>920</v>
      </c>
      <c r="N730" s="111">
        <f t="shared" si="440"/>
        <v>7685</v>
      </c>
      <c r="O730" s="108">
        <f t="shared" si="440"/>
        <v>41036</v>
      </c>
      <c r="P730" s="112">
        <f t="shared" si="440"/>
        <v>49641</v>
      </c>
      <c r="Q730" s="106"/>
    </row>
    <row r="731" spans="1:17" ht="12.75" customHeight="1">
      <c r="A731" s="113" t="s">
        <v>16</v>
      </c>
      <c r="B731" s="114">
        <v>414646</v>
      </c>
      <c r="C731" s="114"/>
      <c r="D731" s="114">
        <f>+B731+C731</f>
        <v>414646</v>
      </c>
      <c r="E731" s="114">
        <v>282796</v>
      </c>
      <c r="F731" s="114">
        <v>129550</v>
      </c>
      <c r="G731" s="114">
        <v>42918</v>
      </c>
      <c r="H731" s="114">
        <f>SUM(E731:G731)</f>
        <v>455264</v>
      </c>
      <c r="I731" s="43">
        <f>285953-3157</f>
        <v>282796</v>
      </c>
      <c r="J731" s="43">
        <v>121865</v>
      </c>
      <c r="K731" s="43">
        <v>16282</v>
      </c>
      <c r="L731" s="78">
        <f>SUM(I731:K731)</f>
        <v>420943</v>
      </c>
      <c r="M731" s="114">
        <f t="shared" ref="M731:O733" si="441">+E731-I731</f>
        <v>0</v>
      </c>
      <c r="N731" s="115">
        <f t="shared" si="441"/>
        <v>7685</v>
      </c>
      <c r="O731" s="114">
        <f t="shared" si="441"/>
        <v>26636</v>
      </c>
      <c r="P731" s="116">
        <f>SUM(M731:O731)</f>
        <v>34321</v>
      </c>
      <c r="Q731" s="106"/>
    </row>
    <row r="732" spans="1:17" ht="12.75" customHeight="1">
      <c r="A732" s="113" t="s">
        <v>17</v>
      </c>
      <c r="B732" s="114"/>
      <c r="C732" s="114">
        <f>+H732</f>
        <v>39552</v>
      </c>
      <c r="D732" s="114">
        <f>+B732+C732</f>
        <v>39552</v>
      </c>
      <c r="E732" s="114">
        <v>25152</v>
      </c>
      <c r="F732" s="114"/>
      <c r="G732" s="114">
        <v>14400</v>
      </c>
      <c r="H732" s="114">
        <f>SUM(E732:G732)</f>
        <v>39552</v>
      </c>
      <c r="I732" s="43">
        <f>7498+2814+11677+3157</f>
        <v>25146</v>
      </c>
      <c r="J732" s="43"/>
      <c r="K732" s="43"/>
      <c r="L732" s="78">
        <f>SUM(I732:K732)</f>
        <v>25146</v>
      </c>
      <c r="M732" s="114">
        <f t="shared" si="441"/>
        <v>6</v>
      </c>
      <c r="N732" s="115">
        <f t="shared" si="441"/>
        <v>0</v>
      </c>
      <c r="O732" s="114">
        <f t="shared" si="441"/>
        <v>14400</v>
      </c>
      <c r="P732" s="116">
        <f>SUM(M732:O732)</f>
        <v>14406</v>
      </c>
      <c r="Q732" s="106"/>
    </row>
    <row r="733" spans="1:17" ht="12.75" customHeight="1">
      <c r="A733" s="113" t="s">
        <v>18</v>
      </c>
      <c r="B733" s="114">
        <v>25293</v>
      </c>
      <c r="C733" s="114"/>
      <c r="D733" s="114">
        <f>+B733+C733</f>
        <v>25293</v>
      </c>
      <c r="E733" s="114">
        <v>25612</v>
      </c>
      <c r="F733" s="114"/>
      <c r="G733" s="114"/>
      <c r="H733" s="114">
        <f>SUM(E733:G733)</f>
        <v>25612</v>
      </c>
      <c r="I733" s="43">
        <v>24698</v>
      </c>
      <c r="J733" s="43"/>
      <c r="K733" s="43"/>
      <c r="L733" s="78">
        <f>SUM(I733:K733)</f>
        <v>24698</v>
      </c>
      <c r="M733" s="114">
        <f t="shared" si="441"/>
        <v>914</v>
      </c>
      <c r="N733" s="115">
        <f t="shared" si="441"/>
        <v>0</v>
      </c>
      <c r="O733" s="114">
        <f t="shared" si="441"/>
        <v>0</v>
      </c>
      <c r="P733" s="116">
        <f>SUM(M733:O733)</f>
        <v>914</v>
      </c>
      <c r="Q733" s="106"/>
    </row>
    <row r="734" spans="1:17" ht="12.75" customHeight="1">
      <c r="A734" s="113" t="s">
        <v>19</v>
      </c>
      <c r="B734" s="102">
        <f>SUM(B735:B736)</f>
        <v>0</v>
      </c>
      <c r="C734" s="102">
        <f>SUM(C735:C736)</f>
        <v>0</v>
      </c>
      <c r="D734" s="102">
        <f>SUM(D735:D736)</f>
        <v>0</v>
      </c>
      <c r="E734" s="102">
        <f t="shared" ref="E734:P734" si="442">SUM(E735:E736)</f>
        <v>0</v>
      </c>
      <c r="F734" s="102">
        <f t="shared" si="442"/>
        <v>5489</v>
      </c>
      <c r="G734" s="102">
        <f t="shared" si="442"/>
        <v>34</v>
      </c>
      <c r="H734" s="102">
        <f t="shared" si="442"/>
        <v>5523</v>
      </c>
      <c r="I734" s="45">
        <f>SUM(I735:I736)</f>
        <v>0</v>
      </c>
      <c r="J734" s="45">
        <f>SUM(J735:J736)</f>
        <v>5489</v>
      </c>
      <c r="K734" s="45">
        <f>SUM(K735:K736)</f>
        <v>0</v>
      </c>
      <c r="L734" s="103">
        <f>SUM(L735:L736)</f>
        <v>5489</v>
      </c>
      <c r="M734" s="102">
        <f t="shared" si="442"/>
        <v>0</v>
      </c>
      <c r="N734" s="104">
        <f t="shared" si="442"/>
        <v>0</v>
      </c>
      <c r="O734" s="102">
        <f t="shared" si="442"/>
        <v>34</v>
      </c>
      <c r="P734" s="105">
        <f t="shared" si="442"/>
        <v>34</v>
      </c>
      <c r="Q734" s="106"/>
    </row>
    <row r="735" spans="1:17" ht="12.75" customHeight="1">
      <c r="A735" s="113" t="s">
        <v>20</v>
      </c>
      <c r="B735" s="114"/>
      <c r="C735" s="114"/>
      <c r="D735" s="114">
        <f>+B735+C735</f>
        <v>0</v>
      </c>
      <c r="E735" s="114"/>
      <c r="F735" s="114">
        <v>5489</v>
      </c>
      <c r="G735" s="114">
        <v>34</v>
      </c>
      <c r="H735" s="114">
        <f>SUM(E735:G735)</f>
        <v>5523</v>
      </c>
      <c r="I735" s="43"/>
      <c r="J735" s="43">
        <v>5489</v>
      </c>
      <c r="K735" s="43"/>
      <c r="L735" s="78">
        <f>SUM(I735:K735)</f>
        <v>5489</v>
      </c>
      <c r="M735" s="114">
        <f t="shared" ref="M735:O736" si="443">+E735-I735</f>
        <v>0</v>
      </c>
      <c r="N735" s="115">
        <f t="shared" si="443"/>
        <v>0</v>
      </c>
      <c r="O735" s="114">
        <f t="shared" si="443"/>
        <v>34</v>
      </c>
      <c r="P735" s="116">
        <f>SUM(M735:O735)</f>
        <v>34</v>
      </c>
      <c r="Q735" s="106"/>
    </row>
    <row r="736" spans="1:17" ht="12.75" customHeight="1">
      <c r="A736" s="113" t="s">
        <v>21</v>
      </c>
      <c r="B736" s="114"/>
      <c r="C736" s="114"/>
      <c r="D736" s="114">
        <f>+B736+C736</f>
        <v>0</v>
      </c>
      <c r="E736" s="114"/>
      <c r="F736" s="114"/>
      <c r="G736" s="114"/>
      <c r="H736" s="114">
        <f>SUM(E736:G736)</f>
        <v>0</v>
      </c>
      <c r="I736" s="43"/>
      <c r="J736" s="43"/>
      <c r="K736" s="43"/>
      <c r="L736" s="78">
        <f>SUM(I736:K736)</f>
        <v>0</v>
      </c>
      <c r="M736" s="114">
        <f t="shared" si="443"/>
        <v>0</v>
      </c>
      <c r="N736" s="115">
        <f t="shared" si="443"/>
        <v>0</v>
      </c>
      <c r="O736" s="114">
        <f t="shared" si="443"/>
        <v>0</v>
      </c>
      <c r="P736" s="116">
        <f>SUM(M736:O736)</f>
        <v>0</v>
      </c>
      <c r="Q736" s="106"/>
    </row>
    <row r="737" spans="1:17" ht="12.75" customHeight="1">
      <c r="A737" s="121"/>
      <c r="B737" s="122"/>
      <c r="C737" s="122"/>
      <c r="D737" s="122"/>
      <c r="E737" s="114"/>
      <c r="F737" s="114"/>
      <c r="G737" s="114"/>
      <c r="H737" s="114"/>
      <c r="I737" s="43"/>
      <c r="J737" s="43"/>
      <c r="K737" s="43"/>
      <c r="L737" s="78"/>
      <c r="M737" s="114"/>
      <c r="N737" s="115"/>
      <c r="O737" s="114"/>
      <c r="P737" s="116"/>
      <c r="Q737" s="106"/>
    </row>
    <row r="738" spans="1:17">
      <c r="A738" s="120" t="s">
        <v>302</v>
      </c>
      <c r="B738" s="102">
        <f>+B739+B743</f>
        <v>216594</v>
      </c>
      <c r="C738" s="102">
        <f>+C739+C743</f>
        <v>11771</v>
      </c>
      <c r="D738" s="102">
        <f>+D739+D743</f>
        <v>228365</v>
      </c>
      <c r="E738" s="102">
        <f t="shared" ref="E738:P738" si="444">+E739+E743</f>
        <v>173936</v>
      </c>
      <c r="F738" s="102">
        <f t="shared" si="444"/>
        <v>66419</v>
      </c>
      <c r="G738" s="102">
        <f t="shared" si="444"/>
        <v>0</v>
      </c>
      <c r="H738" s="102">
        <f t="shared" si="444"/>
        <v>240355</v>
      </c>
      <c r="I738" s="45">
        <f t="shared" si="444"/>
        <v>167670</v>
      </c>
      <c r="J738" s="45">
        <f t="shared" si="444"/>
        <v>48307</v>
      </c>
      <c r="K738" s="45">
        <f t="shared" si="444"/>
        <v>0</v>
      </c>
      <c r="L738" s="103">
        <f t="shared" si="444"/>
        <v>215977</v>
      </c>
      <c r="M738" s="102">
        <f t="shared" si="444"/>
        <v>6266</v>
      </c>
      <c r="N738" s="104">
        <f t="shared" si="444"/>
        <v>18112</v>
      </c>
      <c r="O738" s="102">
        <f t="shared" si="444"/>
        <v>0</v>
      </c>
      <c r="P738" s="105">
        <f t="shared" si="444"/>
        <v>24378</v>
      </c>
      <c r="Q738" s="106">
        <f>+L738/H738</f>
        <v>0.89857502444301141</v>
      </c>
    </row>
    <row r="739" spans="1:17" ht="12.75" customHeight="1">
      <c r="A739" s="127" t="s">
        <v>15</v>
      </c>
      <c r="B739" s="108">
        <f>SUM(B740:B742)</f>
        <v>216594</v>
      </c>
      <c r="C739" s="108">
        <f>SUM(C740:C742)</f>
        <v>11771</v>
      </c>
      <c r="D739" s="108">
        <f>SUM(D740:D742)</f>
        <v>228365</v>
      </c>
      <c r="E739" s="108">
        <f t="shared" ref="E739:P739" si="445">SUM(E740:E742)</f>
        <v>173936</v>
      </c>
      <c r="F739" s="108">
        <f t="shared" si="445"/>
        <v>54429</v>
      </c>
      <c r="G739" s="108">
        <f t="shared" si="445"/>
        <v>0</v>
      </c>
      <c r="H739" s="108">
        <f t="shared" si="445"/>
        <v>228365</v>
      </c>
      <c r="I739" s="109">
        <f>SUM(I740:I742)</f>
        <v>167670</v>
      </c>
      <c r="J739" s="109">
        <f>SUM(J740:J742)</f>
        <v>44660</v>
      </c>
      <c r="K739" s="109">
        <f>SUM(K740:K742)</f>
        <v>0</v>
      </c>
      <c r="L739" s="110">
        <f>SUM(L740:L742)</f>
        <v>212330</v>
      </c>
      <c r="M739" s="108">
        <f t="shared" si="445"/>
        <v>6266</v>
      </c>
      <c r="N739" s="111">
        <f t="shared" si="445"/>
        <v>9769</v>
      </c>
      <c r="O739" s="108">
        <f t="shared" si="445"/>
        <v>0</v>
      </c>
      <c r="P739" s="112">
        <f t="shared" si="445"/>
        <v>16035</v>
      </c>
      <c r="Q739" s="106"/>
    </row>
    <row r="740" spans="1:17" ht="12.75" customHeight="1">
      <c r="A740" s="113" t="s">
        <v>16</v>
      </c>
      <c r="B740" s="114">
        <v>202911</v>
      </c>
      <c r="C740" s="114"/>
      <c r="D740" s="114">
        <f>+B740+C740</f>
        <v>202911</v>
      </c>
      <c r="E740" s="114">
        <v>148482</v>
      </c>
      <c r="F740" s="114">
        <v>54429</v>
      </c>
      <c r="G740" s="114"/>
      <c r="H740" s="114">
        <f>SUM(E740:G740)</f>
        <v>202911</v>
      </c>
      <c r="I740" s="43">
        <v>143260</v>
      </c>
      <c r="J740" s="43">
        <v>44660</v>
      </c>
      <c r="K740" s="43"/>
      <c r="L740" s="78">
        <f>SUM(I740:K740)</f>
        <v>187920</v>
      </c>
      <c r="M740" s="114">
        <f t="shared" ref="M740:O742" si="446">+E740-I740</f>
        <v>5222</v>
      </c>
      <c r="N740" s="115">
        <f t="shared" si="446"/>
        <v>9769</v>
      </c>
      <c r="O740" s="114">
        <f t="shared" si="446"/>
        <v>0</v>
      </c>
      <c r="P740" s="116">
        <f>SUM(M740:O740)</f>
        <v>14991</v>
      </c>
      <c r="Q740" s="106"/>
    </row>
    <row r="741" spans="1:17" ht="12.75" customHeight="1">
      <c r="A741" s="113" t="s">
        <v>17</v>
      </c>
      <c r="B741" s="114"/>
      <c r="C741" s="114">
        <f>+H741</f>
        <v>11771</v>
      </c>
      <c r="D741" s="114">
        <f>+B741+C741</f>
        <v>11771</v>
      </c>
      <c r="E741" s="114">
        <v>11771</v>
      </c>
      <c r="F741" s="114"/>
      <c r="G741" s="114"/>
      <c r="H741" s="114">
        <f>SUM(E741:G741)</f>
        <v>11771</v>
      </c>
      <c r="I741" s="43">
        <f>4473+7155</f>
        <v>11628</v>
      </c>
      <c r="J741" s="43"/>
      <c r="K741" s="43"/>
      <c r="L741" s="78">
        <f>SUM(I741:K741)</f>
        <v>11628</v>
      </c>
      <c r="M741" s="114">
        <f t="shared" si="446"/>
        <v>143</v>
      </c>
      <c r="N741" s="115">
        <f t="shared" si="446"/>
        <v>0</v>
      </c>
      <c r="O741" s="114">
        <f t="shared" si="446"/>
        <v>0</v>
      </c>
      <c r="P741" s="116">
        <f>SUM(M741:O741)</f>
        <v>143</v>
      </c>
      <c r="Q741" s="106"/>
    </row>
    <row r="742" spans="1:17" ht="12.75" customHeight="1">
      <c r="A742" s="113" t="s">
        <v>18</v>
      </c>
      <c r="B742" s="114">
        <v>13683</v>
      </c>
      <c r="C742" s="114"/>
      <c r="D742" s="114">
        <f>+B742+C742</f>
        <v>13683</v>
      </c>
      <c r="E742" s="114">
        <v>13683</v>
      </c>
      <c r="F742" s="114"/>
      <c r="G742" s="114"/>
      <c r="H742" s="114">
        <f>SUM(E742:G742)</f>
        <v>13683</v>
      </c>
      <c r="I742" s="43">
        <v>12782</v>
      </c>
      <c r="J742" s="43"/>
      <c r="K742" s="43"/>
      <c r="L742" s="78">
        <f>SUM(I742:K742)</f>
        <v>12782</v>
      </c>
      <c r="M742" s="114">
        <f t="shared" si="446"/>
        <v>901</v>
      </c>
      <c r="N742" s="115">
        <f t="shared" si="446"/>
        <v>0</v>
      </c>
      <c r="O742" s="114">
        <f t="shared" si="446"/>
        <v>0</v>
      </c>
      <c r="P742" s="116">
        <f>SUM(M742:O742)</f>
        <v>901</v>
      </c>
      <c r="Q742" s="106"/>
    </row>
    <row r="743" spans="1:17" ht="12.75" customHeight="1">
      <c r="A743" s="113" t="s">
        <v>19</v>
      </c>
      <c r="B743" s="102">
        <f>SUM(B744:B745)</f>
        <v>0</v>
      </c>
      <c r="C743" s="102">
        <f>SUM(C744:C745)</f>
        <v>0</v>
      </c>
      <c r="D743" s="102">
        <f>SUM(D744:D745)</f>
        <v>0</v>
      </c>
      <c r="E743" s="102">
        <f t="shared" ref="E743:P743" si="447">SUM(E744:E745)</f>
        <v>0</v>
      </c>
      <c r="F743" s="102">
        <f t="shared" si="447"/>
        <v>11990</v>
      </c>
      <c r="G743" s="102">
        <f t="shared" si="447"/>
        <v>0</v>
      </c>
      <c r="H743" s="102">
        <f t="shared" si="447"/>
        <v>11990</v>
      </c>
      <c r="I743" s="45">
        <f>SUM(I744:I745)</f>
        <v>0</v>
      </c>
      <c r="J743" s="45">
        <f>SUM(J744:J745)</f>
        <v>3647</v>
      </c>
      <c r="K743" s="45">
        <f>SUM(K744:K745)</f>
        <v>0</v>
      </c>
      <c r="L743" s="103">
        <f>SUM(L744:L745)</f>
        <v>3647</v>
      </c>
      <c r="M743" s="102">
        <f t="shared" si="447"/>
        <v>0</v>
      </c>
      <c r="N743" s="104">
        <f t="shared" si="447"/>
        <v>8343</v>
      </c>
      <c r="O743" s="102">
        <f t="shared" si="447"/>
        <v>0</v>
      </c>
      <c r="P743" s="105">
        <f t="shared" si="447"/>
        <v>8343</v>
      </c>
      <c r="Q743" s="106"/>
    </row>
    <row r="744" spans="1:17" ht="12.75" customHeight="1">
      <c r="A744" s="113" t="s">
        <v>20</v>
      </c>
      <c r="B744" s="114"/>
      <c r="C744" s="114"/>
      <c r="D744" s="114">
        <f>+B744+C744</f>
        <v>0</v>
      </c>
      <c r="E744" s="114"/>
      <c r="F744" s="114">
        <v>11990</v>
      </c>
      <c r="G744" s="114"/>
      <c r="H744" s="114">
        <f>SUM(E744:G744)</f>
        <v>11990</v>
      </c>
      <c r="I744" s="43"/>
      <c r="J744" s="43">
        <v>3647</v>
      </c>
      <c r="K744" s="43"/>
      <c r="L744" s="78">
        <f>SUM(I744:K744)</f>
        <v>3647</v>
      </c>
      <c r="M744" s="114">
        <f t="shared" ref="M744:O745" si="448">+E744-I744</f>
        <v>0</v>
      </c>
      <c r="N744" s="115">
        <f t="shared" si="448"/>
        <v>8343</v>
      </c>
      <c r="O744" s="114">
        <f t="shared" si="448"/>
        <v>0</v>
      </c>
      <c r="P744" s="116">
        <f>SUM(M744:O744)</f>
        <v>8343</v>
      </c>
      <c r="Q744" s="106"/>
    </row>
    <row r="745" spans="1:17" ht="12.75" customHeight="1">
      <c r="A745" s="113" t="s">
        <v>21</v>
      </c>
      <c r="B745" s="114"/>
      <c r="C745" s="114"/>
      <c r="D745" s="114">
        <f>+B745+C745</f>
        <v>0</v>
      </c>
      <c r="E745" s="114"/>
      <c r="F745" s="114"/>
      <c r="G745" s="114"/>
      <c r="H745" s="114">
        <f>SUM(E745:G745)</f>
        <v>0</v>
      </c>
      <c r="I745" s="43">
        <f>1874-1874</f>
        <v>0</v>
      </c>
      <c r="J745" s="43"/>
      <c r="K745" s="43"/>
      <c r="L745" s="78">
        <f>SUM(I745:K745)</f>
        <v>0</v>
      </c>
      <c r="M745" s="114">
        <f t="shared" si="448"/>
        <v>0</v>
      </c>
      <c r="N745" s="115">
        <f t="shared" si="448"/>
        <v>0</v>
      </c>
      <c r="O745" s="114">
        <f t="shared" si="448"/>
        <v>0</v>
      </c>
      <c r="P745" s="116">
        <f>SUM(M745:O745)</f>
        <v>0</v>
      </c>
      <c r="Q745" s="106"/>
    </row>
    <row r="746" spans="1:17" ht="12.75" customHeight="1">
      <c r="A746" s="229"/>
      <c r="B746" s="230"/>
      <c r="C746" s="230"/>
      <c r="D746" s="230"/>
      <c r="E746" s="102"/>
      <c r="F746" s="102"/>
      <c r="G746" s="102"/>
      <c r="H746" s="102"/>
      <c r="I746" s="45"/>
      <c r="J746" s="45"/>
      <c r="K746" s="45"/>
      <c r="L746" s="103"/>
      <c r="M746" s="102"/>
      <c r="N746" s="104"/>
      <c r="O746" s="102"/>
      <c r="P746" s="105"/>
      <c r="Q746" s="227"/>
    </row>
    <row r="747" spans="1:17" ht="12.75" customHeight="1">
      <c r="A747" s="120" t="s">
        <v>303</v>
      </c>
      <c r="B747" s="102">
        <f>+B748+B752</f>
        <v>58266</v>
      </c>
      <c r="C747" s="102">
        <f>+C748+C752</f>
        <v>1466</v>
      </c>
      <c r="D747" s="102">
        <f>+D748+D752</f>
        <v>59732</v>
      </c>
      <c r="E747" s="102">
        <f t="shared" ref="E747:P747" si="449">+E748+E752</f>
        <v>38215</v>
      </c>
      <c r="F747" s="102">
        <f t="shared" si="449"/>
        <v>21517</v>
      </c>
      <c r="G747" s="102">
        <f t="shared" si="449"/>
        <v>6005</v>
      </c>
      <c r="H747" s="102">
        <f t="shared" si="449"/>
        <v>65737</v>
      </c>
      <c r="I747" s="45">
        <f t="shared" si="449"/>
        <v>38215</v>
      </c>
      <c r="J747" s="45">
        <f t="shared" si="449"/>
        <v>21417</v>
      </c>
      <c r="K747" s="45">
        <f t="shared" si="449"/>
        <v>0</v>
      </c>
      <c r="L747" s="103">
        <f t="shared" si="449"/>
        <v>59632</v>
      </c>
      <c r="M747" s="102">
        <f t="shared" si="449"/>
        <v>0</v>
      </c>
      <c r="N747" s="104">
        <f t="shared" si="449"/>
        <v>100</v>
      </c>
      <c r="O747" s="102">
        <f t="shared" si="449"/>
        <v>6005</v>
      </c>
      <c r="P747" s="105">
        <f t="shared" si="449"/>
        <v>6105</v>
      </c>
      <c r="Q747" s="106">
        <f>+L747/H747</f>
        <v>0.90712992682963933</v>
      </c>
    </row>
    <row r="748" spans="1:17" ht="12.75" customHeight="1">
      <c r="A748" s="127" t="s">
        <v>15</v>
      </c>
      <c r="B748" s="108">
        <f>SUM(B749:B751)</f>
        <v>58266</v>
      </c>
      <c r="C748" s="108">
        <f>SUM(C749:C751)</f>
        <v>1466</v>
      </c>
      <c r="D748" s="108">
        <f>SUM(D749:D751)</f>
        <v>59732</v>
      </c>
      <c r="E748" s="108">
        <f t="shared" ref="E748:P748" si="450">SUM(E749:E751)</f>
        <v>38215</v>
      </c>
      <c r="F748" s="108">
        <f t="shared" si="450"/>
        <v>21517</v>
      </c>
      <c r="G748" s="108">
        <f t="shared" si="450"/>
        <v>6005</v>
      </c>
      <c r="H748" s="108">
        <f t="shared" si="450"/>
        <v>65737</v>
      </c>
      <c r="I748" s="109">
        <f>SUM(I749:I751)</f>
        <v>38215</v>
      </c>
      <c r="J748" s="109">
        <f>SUM(J749:J751)</f>
        <v>21417</v>
      </c>
      <c r="K748" s="109">
        <f>SUM(K749:K751)</f>
        <v>0</v>
      </c>
      <c r="L748" s="110">
        <f>SUM(L749:L751)</f>
        <v>59632</v>
      </c>
      <c r="M748" s="108">
        <f t="shared" si="450"/>
        <v>0</v>
      </c>
      <c r="N748" s="111">
        <f t="shared" si="450"/>
        <v>100</v>
      </c>
      <c r="O748" s="108">
        <f t="shared" si="450"/>
        <v>6005</v>
      </c>
      <c r="P748" s="112">
        <f t="shared" si="450"/>
        <v>6105</v>
      </c>
      <c r="Q748" s="106"/>
    </row>
    <row r="749" spans="1:17" ht="12.75" customHeight="1">
      <c r="A749" s="113" t="s">
        <v>16</v>
      </c>
      <c r="B749" s="114">
        <v>55097</v>
      </c>
      <c r="C749" s="114"/>
      <c r="D749" s="114">
        <f>+B749+C749</f>
        <v>55097</v>
      </c>
      <c r="E749" s="114">
        <v>33580</v>
      </c>
      <c r="F749" s="114">
        <v>21517</v>
      </c>
      <c r="G749" s="114">
        <v>6005</v>
      </c>
      <c r="H749" s="114">
        <f>SUM(E749:G749)</f>
        <v>61102</v>
      </c>
      <c r="I749" s="43">
        <f>33617-37</f>
        <v>33580</v>
      </c>
      <c r="J749" s="43">
        <f>21380+37</f>
        <v>21417</v>
      </c>
      <c r="K749" s="43"/>
      <c r="L749" s="78">
        <f>SUM(I749:K749)</f>
        <v>54997</v>
      </c>
      <c r="M749" s="114">
        <f t="shared" ref="M749:O751" si="451">+E749-I749</f>
        <v>0</v>
      </c>
      <c r="N749" s="115">
        <f t="shared" si="451"/>
        <v>100</v>
      </c>
      <c r="O749" s="114">
        <f t="shared" si="451"/>
        <v>6005</v>
      </c>
      <c r="P749" s="116">
        <f>SUM(M749:O749)</f>
        <v>6105</v>
      </c>
      <c r="Q749" s="106"/>
    </row>
    <row r="750" spans="1:17" ht="12.75" customHeight="1">
      <c r="A750" s="113" t="s">
        <v>17</v>
      </c>
      <c r="B750" s="114"/>
      <c r="C750" s="114">
        <f>+H750</f>
        <v>1466</v>
      </c>
      <c r="D750" s="114">
        <f>+B750+C750</f>
        <v>1466</v>
      </c>
      <c r="E750" s="114">
        <v>1466</v>
      </c>
      <c r="F750" s="114"/>
      <c r="G750" s="114"/>
      <c r="H750" s="114">
        <f>SUM(E750:G750)</f>
        <v>1466</v>
      </c>
      <c r="I750" s="43">
        <f>395+791+280</f>
        <v>1466</v>
      </c>
      <c r="J750" s="43"/>
      <c r="K750" s="43"/>
      <c r="L750" s="78">
        <f>SUM(I750:K750)</f>
        <v>1466</v>
      </c>
      <c r="M750" s="114">
        <f t="shared" si="451"/>
        <v>0</v>
      </c>
      <c r="N750" s="115">
        <f t="shared" si="451"/>
        <v>0</v>
      </c>
      <c r="O750" s="114">
        <f t="shared" si="451"/>
        <v>0</v>
      </c>
      <c r="P750" s="116">
        <f>SUM(M750:O750)</f>
        <v>0</v>
      </c>
      <c r="Q750" s="106"/>
    </row>
    <row r="751" spans="1:17" ht="12.75" customHeight="1">
      <c r="A751" s="113" t="s">
        <v>18</v>
      </c>
      <c r="B751" s="114">
        <v>3169</v>
      </c>
      <c r="C751" s="114"/>
      <c r="D751" s="114">
        <f>+B751+C751</f>
        <v>3169</v>
      </c>
      <c r="E751" s="114">
        <v>3169</v>
      </c>
      <c r="F751" s="114"/>
      <c r="G751" s="114"/>
      <c r="H751" s="114">
        <f>SUM(E751:G751)</f>
        <v>3169</v>
      </c>
      <c r="I751" s="43">
        <v>3169</v>
      </c>
      <c r="J751" s="43"/>
      <c r="K751" s="43"/>
      <c r="L751" s="78">
        <f>SUM(I751:K751)</f>
        <v>3169</v>
      </c>
      <c r="M751" s="114">
        <f t="shared" si="451"/>
        <v>0</v>
      </c>
      <c r="N751" s="115">
        <f t="shared" si="451"/>
        <v>0</v>
      </c>
      <c r="O751" s="114">
        <f t="shared" si="451"/>
        <v>0</v>
      </c>
      <c r="P751" s="116">
        <f>SUM(M751:O751)</f>
        <v>0</v>
      </c>
      <c r="Q751" s="106"/>
    </row>
    <row r="752" spans="1:17" ht="12.75" customHeight="1">
      <c r="A752" s="113" t="s">
        <v>19</v>
      </c>
      <c r="B752" s="102">
        <f>SUM(B753:B754)</f>
        <v>0</v>
      </c>
      <c r="C752" s="102">
        <f>SUM(C753:C754)</f>
        <v>0</v>
      </c>
      <c r="D752" s="102">
        <f>SUM(D753:D754)</f>
        <v>0</v>
      </c>
      <c r="E752" s="102">
        <f t="shared" ref="E752:P752" si="452">SUM(E753:E754)</f>
        <v>0</v>
      </c>
      <c r="F752" s="102">
        <f t="shared" si="452"/>
        <v>0</v>
      </c>
      <c r="G752" s="102">
        <f t="shared" si="452"/>
        <v>0</v>
      </c>
      <c r="H752" s="102">
        <f t="shared" si="452"/>
        <v>0</v>
      </c>
      <c r="I752" s="45">
        <f>SUM(I753:I754)</f>
        <v>0</v>
      </c>
      <c r="J752" s="45">
        <f>SUM(J753:J754)</f>
        <v>0</v>
      </c>
      <c r="K752" s="45">
        <f>SUM(K753:K754)</f>
        <v>0</v>
      </c>
      <c r="L752" s="103">
        <f>SUM(L753:L754)</f>
        <v>0</v>
      </c>
      <c r="M752" s="102">
        <f t="shared" si="452"/>
        <v>0</v>
      </c>
      <c r="N752" s="104">
        <f t="shared" si="452"/>
        <v>0</v>
      </c>
      <c r="O752" s="102">
        <f t="shared" si="452"/>
        <v>0</v>
      </c>
      <c r="P752" s="105">
        <f t="shared" si="452"/>
        <v>0</v>
      </c>
      <c r="Q752" s="106"/>
    </row>
    <row r="753" spans="1:17" ht="12.75" customHeight="1">
      <c r="A753" s="113" t="s">
        <v>20</v>
      </c>
      <c r="B753" s="114"/>
      <c r="C753" s="114"/>
      <c r="D753" s="114">
        <f>+B753+C753</f>
        <v>0</v>
      </c>
      <c r="E753" s="114"/>
      <c r="F753" s="114"/>
      <c r="G753" s="114"/>
      <c r="H753" s="114">
        <f>SUM(E753:G753)</f>
        <v>0</v>
      </c>
      <c r="I753" s="43"/>
      <c r="J753" s="43"/>
      <c r="K753" s="43"/>
      <c r="L753" s="78">
        <f>SUM(I753:K753)</f>
        <v>0</v>
      </c>
      <c r="M753" s="114">
        <f t="shared" ref="M753:O754" si="453">+E753-I753</f>
        <v>0</v>
      </c>
      <c r="N753" s="115">
        <f t="shared" si="453"/>
        <v>0</v>
      </c>
      <c r="O753" s="114">
        <f t="shared" si="453"/>
        <v>0</v>
      </c>
      <c r="P753" s="116">
        <f>SUM(M753:O753)</f>
        <v>0</v>
      </c>
      <c r="Q753" s="106"/>
    </row>
    <row r="754" spans="1:17" ht="12.75" customHeight="1">
      <c r="A754" s="113" t="s">
        <v>21</v>
      </c>
      <c r="B754" s="114"/>
      <c r="C754" s="114"/>
      <c r="D754" s="114">
        <f>+B754+C754</f>
        <v>0</v>
      </c>
      <c r="E754" s="114"/>
      <c r="F754" s="114"/>
      <c r="G754" s="114"/>
      <c r="H754" s="114">
        <f>SUM(E754:G754)</f>
        <v>0</v>
      </c>
      <c r="I754" s="43"/>
      <c r="J754" s="43"/>
      <c r="K754" s="43"/>
      <c r="L754" s="78">
        <f>SUM(I754:K754)</f>
        <v>0</v>
      </c>
      <c r="M754" s="114">
        <f t="shared" si="453"/>
        <v>0</v>
      </c>
      <c r="N754" s="115">
        <f t="shared" si="453"/>
        <v>0</v>
      </c>
      <c r="O754" s="114">
        <f t="shared" si="453"/>
        <v>0</v>
      </c>
      <c r="P754" s="116">
        <f>SUM(M754:O754)</f>
        <v>0</v>
      </c>
      <c r="Q754" s="106"/>
    </row>
    <row r="755" spans="1:17" ht="12.75" customHeight="1">
      <c r="A755" s="229"/>
      <c r="B755" s="230"/>
      <c r="C755" s="230"/>
      <c r="D755" s="230"/>
      <c r="E755" s="102"/>
      <c r="F755" s="102"/>
      <c r="G755" s="102"/>
      <c r="H755" s="102"/>
      <c r="I755" s="74"/>
      <c r="J755" s="74"/>
      <c r="K755" s="74"/>
      <c r="L755" s="138"/>
      <c r="M755" s="102"/>
      <c r="N755" s="104"/>
      <c r="O755" s="102"/>
      <c r="P755" s="105"/>
      <c r="Q755" s="227"/>
    </row>
    <row r="756" spans="1:17" ht="12.75" customHeight="1">
      <c r="A756" s="149" t="s">
        <v>304</v>
      </c>
      <c r="B756" s="102">
        <f>+B757+B761</f>
        <v>2025434</v>
      </c>
      <c r="C756" s="102">
        <f>+C757+C761</f>
        <v>677208</v>
      </c>
      <c r="D756" s="102">
        <f>+D757+D761</f>
        <v>2702642</v>
      </c>
      <c r="E756" s="102">
        <f t="shared" ref="E756:P756" si="454">+E757+E761</f>
        <v>1751650</v>
      </c>
      <c r="F756" s="102">
        <f t="shared" si="454"/>
        <v>426564</v>
      </c>
      <c r="G756" s="102">
        <f t="shared" si="454"/>
        <v>664613</v>
      </c>
      <c r="H756" s="102">
        <f t="shared" si="454"/>
        <v>2842827</v>
      </c>
      <c r="I756" s="139">
        <f>+I757+I761</f>
        <v>1736034</v>
      </c>
      <c r="J756" s="139">
        <f>+J757+J761</f>
        <v>397741</v>
      </c>
      <c r="K756" s="139">
        <f>+K757+K761</f>
        <v>317923</v>
      </c>
      <c r="L756" s="139">
        <f>+L757+L761</f>
        <v>2451698</v>
      </c>
      <c r="M756" s="102">
        <f t="shared" si="454"/>
        <v>15616</v>
      </c>
      <c r="N756" s="104">
        <f t="shared" si="454"/>
        <v>28823</v>
      </c>
      <c r="O756" s="102">
        <f t="shared" si="454"/>
        <v>346690</v>
      </c>
      <c r="P756" s="105">
        <f t="shared" si="454"/>
        <v>391129</v>
      </c>
      <c r="Q756" s="106">
        <f>+L756/H756</f>
        <v>0.86241547586258327</v>
      </c>
    </row>
    <row r="757" spans="1:17" ht="12.75" customHeight="1">
      <c r="A757" s="127" t="s">
        <v>15</v>
      </c>
      <c r="B757" s="108">
        <f>SUM(B758:B760)</f>
        <v>2025434</v>
      </c>
      <c r="C757" s="108">
        <f>SUM(C758:C760)</f>
        <v>638991</v>
      </c>
      <c r="D757" s="108">
        <f>SUM(D758:D760)</f>
        <v>2664425</v>
      </c>
      <c r="E757" s="108">
        <f t="shared" ref="E757:P757" si="455">SUM(E758:E760)</f>
        <v>1751650</v>
      </c>
      <c r="F757" s="108">
        <f t="shared" si="455"/>
        <v>408373</v>
      </c>
      <c r="G757" s="108">
        <f t="shared" si="455"/>
        <v>634621</v>
      </c>
      <c r="H757" s="108">
        <f t="shared" si="455"/>
        <v>2794644</v>
      </c>
      <c r="I757" s="141">
        <f>SUM(I758:I760)</f>
        <v>1736034</v>
      </c>
      <c r="J757" s="141">
        <f>SUM(J758:J760)</f>
        <v>379589</v>
      </c>
      <c r="K757" s="141">
        <f>SUM(K758:K760)</f>
        <v>289686</v>
      </c>
      <c r="L757" s="141">
        <f>SUM(L758:L760)</f>
        <v>2405309</v>
      </c>
      <c r="M757" s="108">
        <f t="shared" si="455"/>
        <v>15616</v>
      </c>
      <c r="N757" s="111">
        <f t="shared" si="455"/>
        <v>28784</v>
      </c>
      <c r="O757" s="108">
        <f t="shared" si="455"/>
        <v>344935</v>
      </c>
      <c r="P757" s="112">
        <f t="shared" si="455"/>
        <v>389335</v>
      </c>
      <c r="Q757" s="106"/>
    </row>
    <row r="758" spans="1:17" ht="12.75" customHeight="1">
      <c r="A758" s="113" t="s">
        <v>16</v>
      </c>
      <c r="B758" s="114">
        <f t="shared" ref="B758:G760" si="456">+B767+B776+B785+B794+B803+B812+B821+B830+B839+B848</f>
        <v>1894523</v>
      </c>
      <c r="C758" s="114">
        <f t="shared" si="456"/>
        <v>450</v>
      </c>
      <c r="D758" s="114">
        <f t="shared" si="456"/>
        <v>1894973</v>
      </c>
      <c r="E758" s="114">
        <f t="shared" si="456"/>
        <v>1482801</v>
      </c>
      <c r="F758" s="114">
        <f t="shared" si="456"/>
        <v>408373</v>
      </c>
      <c r="G758" s="114">
        <f t="shared" si="456"/>
        <v>131280</v>
      </c>
      <c r="H758" s="114">
        <f>SUM(E758:G758)</f>
        <v>2022454</v>
      </c>
      <c r="I758" s="143">
        <f t="shared" ref="I758:K760" si="457">+I767+I776+I785+I794+I803+I812+I821+I830+I839+I848</f>
        <v>1469904</v>
      </c>
      <c r="J758" s="143">
        <f t="shared" si="457"/>
        <v>379589</v>
      </c>
      <c r="K758" s="143">
        <f t="shared" si="457"/>
        <v>5094</v>
      </c>
      <c r="L758" s="143">
        <f>SUM(I758:K758)</f>
        <v>1854587</v>
      </c>
      <c r="M758" s="114">
        <f t="shared" ref="M758:O760" si="458">+E758-I758</f>
        <v>12897</v>
      </c>
      <c r="N758" s="115">
        <f t="shared" si="458"/>
        <v>28784</v>
      </c>
      <c r="O758" s="114">
        <f t="shared" si="458"/>
        <v>126186</v>
      </c>
      <c r="P758" s="116">
        <f>SUM(M758:O758)</f>
        <v>167867</v>
      </c>
      <c r="Q758" s="106"/>
    </row>
    <row r="759" spans="1:17" ht="12.75" customHeight="1">
      <c r="A759" s="113" t="s">
        <v>17</v>
      </c>
      <c r="B759" s="114">
        <f t="shared" si="456"/>
        <v>0</v>
      </c>
      <c r="C759" s="114">
        <f t="shared" si="456"/>
        <v>638541</v>
      </c>
      <c r="D759" s="114">
        <f t="shared" si="456"/>
        <v>638541</v>
      </c>
      <c r="E759" s="114">
        <f t="shared" si="456"/>
        <v>135200</v>
      </c>
      <c r="F759" s="114">
        <f t="shared" si="456"/>
        <v>0</v>
      </c>
      <c r="G759" s="114">
        <f t="shared" si="456"/>
        <v>503341</v>
      </c>
      <c r="H759" s="114">
        <f>SUM(E759:G759)</f>
        <v>638541</v>
      </c>
      <c r="I759" s="143">
        <f t="shared" si="457"/>
        <v>134717</v>
      </c>
      <c r="J759" s="143">
        <f t="shared" si="457"/>
        <v>0</v>
      </c>
      <c r="K759" s="143">
        <f t="shared" si="457"/>
        <v>284592</v>
      </c>
      <c r="L759" s="143">
        <f>SUM(I759:K759)</f>
        <v>419309</v>
      </c>
      <c r="M759" s="114">
        <f t="shared" si="458"/>
        <v>483</v>
      </c>
      <c r="N759" s="115">
        <f t="shared" si="458"/>
        <v>0</v>
      </c>
      <c r="O759" s="114">
        <f t="shared" si="458"/>
        <v>218749</v>
      </c>
      <c r="P759" s="116">
        <f>SUM(M759:O759)</f>
        <v>219232</v>
      </c>
      <c r="Q759" s="106"/>
    </row>
    <row r="760" spans="1:17" ht="12.75" customHeight="1">
      <c r="A760" s="113" t="s">
        <v>18</v>
      </c>
      <c r="B760" s="114">
        <f t="shared" si="456"/>
        <v>130911</v>
      </c>
      <c r="C760" s="114">
        <f t="shared" si="456"/>
        <v>0</v>
      </c>
      <c r="D760" s="114">
        <f t="shared" si="456"/>
        <v>130911</v>
      </c>
      <c r="E760" s="114">
        <f t="shared" si="456"/>
        <v>133649</v>
      </c>
      <c r="F760" s="114">
        <f t="shared" si="456"/>
        <v>0</v>
      </c>
      <c r="G760" s="114">
        <f t="shared" si="456"/>
        <v>0</v>
      </c>
      <c r="H760" s="114">
        <f>SUM(E760:G760)</f>
        <v>133649</v>
      </c>
      <c r="I760" s="143">
        <f t="shared" si="457"/>
        <v>131413</v>
      </c>
      <c r="J760" s="143">
        <f t="shared" si="457"/>
        <v>0</v>
      </c>
      <c r="K760" s="143">
        <f t="shared" si="457"/>
        <v>0</v>
      </c>
      <c r="L760" s="143">
        <f>SUM(I760:K760)</f>
        <v>131413</v>
      </c>
      <c r="M760" s="114">
        <f t="shared" si="458"/>
        <v>2236</v>
      </c>
      <c r="N760" s="115">
        <f t="shared" si="458"/>
        <v>0</v>
      </c>
      <c r="O760" s="114">
        <f t="shared" si="458"/>
        <v>0</v>
      </c>
      <c r="P760" s="116">
        <f>SUM(M760:O760)</f>
        <v>2236</v>
      </c>
      <c r="Q760" s="106"/>
    </row>
    <row r="761" spans="1:17" ht="12.75" customHeight="1">
      <c r="A761" s="113" t="s">
        <v>19</v>
      </c>
      <c r="B761" s="102">
        <f>SUM(B762:B763)</f>
        <v>0</v>
      </c>
      <c r="C761" s="102">
        <f>SUM(C762:C763)</f>
        <v>38217</v>
      </c>
      <c r="D761" s="102">
        <f>SUM(D762:D763)</f>
        <v>38217</v>
      </c>
      <c r="E761" s="102">
        <f t="shared" ref="E761:P761" si="459">SUM(E762:E763)</f>
        <v>0</v>
      </c>
      <c r="F761" s="102">
        <f t="shared" si="459"/>
        <v>18191</v>
      </c>
      <c r="G761" s="102">
        <f t="shared" si="459"/>
        <v>29992</v>
      </c>
      <c r="H761" s="102">
        <f t="shared" si="459"/>
        <v>48183</v>
      </c>
      <c r="I761" s="139">
        <f>SUM(I762:I763)</f>
        <v>0</v>
      </c>
      <c r="J761" s="139">
        <f>SUM(J762:J763)</f>
        <v>18152</v>
      </c>
      <c r="K761" s="139">
        <f>SUM(K762:K763)</f>
        <v>28237</v>
      </c>
      <c r="L761" s="139">
        <f>SUM(L762:L763)</f>
        <v>46389</v>
      </c>
      <c r="M761" s="102">
        <f t="shared" si="459"/>
        <v>0</v>
      </c>
      <c r="N761" s="104">
        <f t="shared" si="459"/>
        <v>39</v>
      </c>
      <c r="O761" s="102">
        <f t="shared" si="459"/>
        <v>1755</v>
      </c>
      <c r="P761" s="105">
        <f t="shared" si="459"/>
        <v>1794</v>
      </c>
      <c r="Q761" s="106"/>
    </row>
    <row r="762" spans="1:17" ht="12.75" customHeight="1">
      <c r="A762" s="113" t="s">
        <v>20</v>
      </c>
      <c r="B762" s="114">
        <f t="shared" ref="B762:G763" si="460">+B771+B780+B789+B798+B807+B816+B825+B834+B843+B852</f>
        <v>0</v>
      </c>
      <c r="C762" s="114">
        <f t="shared" si="460"/>
        <v>38217</v>
      </c>
      <c r="D762" s="114">
        <f t="shared" si="460"/>
        <v>38217</v>
      </c>
      <c r="E762" s="114">
        <f t="shared" si="460"/>
        <v>0</v>
      </c>
      <c r="F762" s="114">
        <f t="shared" si="460"/>
        <v>18191</v>
      </c>
      <c r="G762" s="114">
        <f t="shared" si="460"/>
        <v>29992</v>
      </c>
      <c r="H762" s="114">
        <f>SUM(E762:G762)</f>
        <v>48183</v>
      </c>
      <c r="I762" s="143">
        <f t="shared" ref="I762:K763" si="461">+I771+I780+I789+I798+I807+I816+I825+I834+I843+I852</f>
        <v>0</v>
      </c>
      <c r="J762" s="143">
        <f t="shared" si="461"/>
        <v>18152</v>
      </c>
      <c r="K762" s="143">
        <f t="shared" si="461"/>
        <v>28237</v>
      </c>
      <c r="L762" s="143">
        <f>SUM(I762:K762)</f>
        <v>46389</v>
      </c>
      <c r="M762" s="114">
        <f t="shared" ref="M762:O763" si="462">+E762-I762</f>
        <v>0</v>
      </c>
      <c r="N762" s="115">
        <f t="shared" si="462"/>
        <v>39</v>
      </c>
      <c r="O762" s="114">
        <f t="shared" si="462"/>
        <v>1755</v>
      </c>
      <c r="P762" s="116">
        <f>SUM(M762:O762)</f>
        <v>1794</v>
      </c>
      <c r="Q762" s="106"/>
    </row>
    <row r="763" spans="1:17" ht="12.75" customHeight="1">
      <c r="A763" s="113" t="s">
        <v>21</v>
      </c>
      <c r="B763" s="114">
        <f t="shared" si="460"/>
        <v>0</v>
      </c>
      <c r="C763" s="114">
        <f t="shared" si="460"/>
        <v>0</v>
      </c>
      <c r="D763" s="114">
        <f t="shared" si="460"/>
        <v>0</v>
      </c>
      <c r="E763" s="114">
        <f t="shared" si="460"/>
        <v>0</v>
      </c>
      <c r="F763" s="114">
        <f t="shared" si="460"/>
        <v>0</v>
      </c>
      <c r="G763" s="114">
        <f t="shared" si="460"/>
        <v>0</v>
      </c>
      <c r="H763" s="114">
        <f>SUM(E763:G763)</f>
        <v>0</v>
      </c>
      <c r="I763" s="143">
        <f t="shared" si="461"/>
        <v>0</v>
      </c>
      <c r="J763" s="143">
        <f t="shared" si="461"/>
        <v>0</v>
      </c>
      <c r="K763" s="143">
        <f t="shared" si="461"/>
        <v>0</v>
      </c>
      <c r="L763" s="143">
        <f>SUM(I763:K763)</f>
        <v>0</v>
      </c>
      <c r="M763" s="114">
        <f t="shared" si="462"/>
        <v>0</v>
      </c>
      <c r="N763" s="115">
        <f t="shared" si="462"/>
        <v>0</v>
      </c>
      <c r="O763" s="114">
        <f t="shared" si="462"/>
        <v>0</v>
      </c>
      <c r="P763" s="116">
        <f>SUM(M763:O763)</f>
        <v>0</v>
      </c>
      <c r="Q763" s="106"/>
    </row>
    <row r="764" spans="1:17" ht="12.75" customHeight="1">
      <c r="A764" s="149"/>
      <c r="B764" s="150"/>
      <c r="C764" s="150"/>
      <c r="D764" s="150"/>
      <c r="E764" s="114"/>
      <c r="F764" s="114"/>
      <c r="G764" s="114"/>
      <c r="H764" s="114"/>
      <c r="I764" s="43"/>
      <c r="J764" s="43"/>
      <c r="K764" s="43"/>
      <c r="L764" s="78"/>
      <c r="M764" s="114"/>
      <c r="N764" s="115"/>
      <c r="O764" s="114"/>
      <c r="P764" s="116"/>
      <c r="Q764" s="106"/>
    </row>
    <row r="765" spans="1:17" ht="12.75" customHeight="1">
      <c r="A765" s="120" t="s">
        <v>305</v>
      </c>
      <c r="B765" s="102">
        <f>+B766+B770</f>
        <v>252865</v>
      </c>
      <c r="C765" s="102">
        <f>+C766+C770</f>
        <v>242202</v>
      </c>
      <c r="D765" s="102">
        <f>+D766+D770</f>
        <v>495067</v>
      </c>
      <c r="E765" s="102">
        <f t="shared" ref="E765:P765" si="463">+E766+E770</f>
        <v>229444</v>
      </c>
      <c r="F765" s="102">
        <f t="shared" si="463"/>
        <v>48086</v>
      </c>
      <c r="G765" s="102">
        <f t="shared" si="463"/>
        <v>230956</v>
      </c>
      <c r="H765" s="102">
        <f t="shared" si="463"/>
        <v>508486</v>
      </c>
      <c r="I765" s="45">
        <f t="shared" si="463"/>
        <v>228614</v>
      </c>
      <c r="J765" s="45">
        <f t="shared" si="463"/>
        <v>43135</v>
      </c>
      <c r="K765" s="45">
        <f t="shared" si="463"/>
        <v>106333</v>
      </c>
      <c r="L765" s="103">
        <f t="shared" si="463"/>
        <v>378082</v>
      </c>
      <c r="M765" s="102">
        <f t="shared" si="463"/>
        <v>830</v>
      </c>
      <c r="N765" s="104">
        <f t="shared" si="463"/>
        <v>4951</v>
      </c>
      <c r="O765" s="102">
        <f t="shared" si="463"/>
        <v>124623</v>
      </c>
      <c r="P765" s="105">
        <f t="shared" si="463"/>
        <v>130404</v>
      </c>
      <c r="Q765" s="106">
        <f>+L765/H765</f>
        <v>0.7435445616988472</v>
      </c>
    </row>
    <row r="766" spans="1:17" ht="12.75" customHeight="1">
      <c r="A766" s="127" t="s">
        <v>15</v>
      </c>
      <c r="B766" s="108">
        <f>SUM(B767:B769)</f>
        <v>252865</v>
      </c>
      <c r="C766" s="108">
        <f>SUM(C767:C769)</f>
        <v>242202</v>
      </c>
      <c r="D766" s="108">
        <f>SUM(D767:D769)</f>
        <v>495067</v>
      </c>
      <c r="E766" s="108">
        <f t="shared" ref="E766:P766" si="464">SUM(E767:E769)</f>
        <v>229444</v>
      </c>
      <c r="F766" s="108">
        <f t="shared" si="464"/>
        <v>48086</v>
      </c>
      <c r="G766" s="108">
        <f t="shared" si="464"/>
        <v>230956</v>
      </c>
      <c r="H766" s="108">
        <f t="shared" si="464"/>
        <v>508486</v>
      </c>
      <c r="I766" s="109">
        <f>SUM(I767:I769)</f>
        <v>228614</v>
      </c>
      <c r="J766" s="109">
        <f>SUM(J767:J769)</f>
        <v>43135</v>
      </c>
      <c r="K766" s="109">
        <f>SUM(K767:K769)</f>
        <v>106333</v>
      </c>
      <c r="L766" s="110">
        <f>SUM(L767:L769)</f>
        <v>378082</v>
      </c>
      <c r="M766" s="108">
        <f t="shared" si="464"/>
        <v>830</v>
      </c>
      <c r="N766" s="111">
        <f t="shared" si="464"/>
        <v>4951</v>
      </c>
      <c r="O766" s="108">
        <f t="shared" si="464"/>
        <v>124623</v>
      </c>
      <c r="P766" s="112">
        <f t="shared" si="464"/>
        <v>130404</v>
      </c>
      <c r="Q766" s="106"/>
    </row>
    <row r="767" spans="1:17" ht="12.75" customHeight="1">
      <c r="A767" s="113" t="s">
        <v>16</v>
      </c>
      <c r="B767" s="114">
        <v>235756</v>
      </c>
      <c r="C767" s="114"/>
      <c r="D767" s="114">
        <f>+B767+C767</f>
        <v>235756</v>
      </c>
      <c r="E767" s="114">
        <v>187670</v>
      </c>
      <c r="F767" s="114">
        <v>48086</v>
      </c>
      <c r="G767" s="114">
        <v>13247</v>
      </c>
      <c r="H767" s="114">
        <f>SUM(E767:G767)</f>
        <v>249003</v>
      </c>
      <c r="I767" s="43">
        <v>187087</v>
      </c>
      <c r="J767" s="43">
        <v>43135</v>
      </c>
      <c r="K767" s="43"/>
      <c r="L767" s="78">
        <f>SUM(I767:K767)</f>
        <v>230222</v>
      </c>
      <c r="M767" s="114">
        <f t="shared" ref="M767:O769" si="465">+E767-I767</f>
        <v>583</v>
      </c>
      <c r="N767" s="115">
        <f t="shared" si="465"/>
        <v>4951</v>
      </c>
      <c r="O767" s="114">
        <f t="shared" si="465"/>
        <v>13247</v>
      </c>
      <c r="P767" s="116">
        <f>SUM(M767:O767)</f>
        <v>18781</v>
      </c>
      <c r="Q767" s="106"/>
    </row>
    <row r="768" spans="1:17" ht="12.75" customHeight="1">
      <c r="A768" s="113" t="s">
        <v>17</v>
      </c>
      <c r="B768" s="114"/>
      <c r="C768" s="114">
        <f>+H768</f>
        <v>242202</v>
      </c>
      <c r="D768" s="114">
        <f>+B768+C768</f>
        <v>242202</v>
      </c>
      <c r="E768" s="114">
        <v>24493</v>
      </c>
      <c r="F768" s="114"/>
      <c r="G768" s="114">
        <v>217709</v>
      </c>
      <c r="H768" s="114">
        <f>SUM(E768:G768)</f>
        <v>242202</v>
      </c>
      <c r="I768" s="43">
        <v>24493</v>
      </c>
      <c r="J768" s="43"/>
      <c r="K768" s="43">
        <v>106333</v>
      </c>
      <c r="L768" s="78">
        <f>SUM(I768:K768)</f>
        <v>130826</v>
      </c>
      <c r="M768" s="114">
        <f t="shared" si="465"/>
        <v>0</v>
      </c>
      <c r="N768" s="115">
        <f t="shared" si="465"/>
        <v>0</v>
      </c>
      <c r="O768" s="114">
        <f t="shared" si="465"/>
        <v>111376</v>
      </c>
      <c r="P768" s="116">
        <f>SUM(M768:O768)</f>
        <v>111376</v>
      </c>
      <c r="Q768" s="106"/>
    </row>
    <row r="769" spans="1:17" ht="12.75" customHeight="1">
      <c r="A769" s="113" t="s">
        <v>18</v>
      </c>
      <c r="B769" s="114">
        <v>17109</v>
      </c>
      <c r="C769" s="114"/>
      <c r="D769" s="114">
        <f>+B769+C769</f>
        <v>17109</v>
      </c>
      <c r="E769" s="114">
        <v>17281</v>
      </c>
      <c r="F769" s="114"/>
      <c r="G769" s="114"/>
      <c r="H769" s="114">
        <f>SUM(E769:G769)</f>
        <v>17281</v>
      </c>
      <c r="I769" s="43">
        <v>17034</v>
      </c>
      <c r="J769" s="43"/>
      <c r="K769" s="43"/>
      <c r="L769" s="78">
        <f>SUM(I769:K769)</f>
        <v>17034</v>
      </c>
      <c r="M769" s="114">
        <f t="shared" si="465"/>
        <v>247</v>
      </c>
      <c r="N769" s="115">
        <f t="shared" si="465"/>
        <v>0</v>
      </c>
      <c r="O769" s="114">
        <f t="shared" si="465"/>
        <v>0</v>
      </c>
      <c r="P769" s="116">
        <f>SUM(M769:O769)</f>
        <v>247</v>
      </c>
      <c r="Q769" s="106"/>
    </row>
    <row r="770" spans="1:17" ht="12.75" customHeight="1">
      <c r="A770" s="113" t="s">
        <v>19</v>
      </c>
      <c r="B770" s="102">
        <f>SUM(B771:B772)</f>
        <v>0</v>
      </c>
      <c r="C770" s="102">
        <f>SUM(C771:C772)</f>
        <v>0</v>
      </c>
      <c r="D770" s="102">
        <f>SUM(D771:D772)</f>
        <v>0</v>
      </c>
      <c r="E770" s="102">
        <f t="shared" ref="E770:P770" si="466">SUM(E771:E772)</f>
        <v>0</v>
      </c>
      <c r="F770" s="102">
        <f t="shared" si="466"/>
        <v>0</v>
      </c>
      <c r="G770" s="102">
        <f t="shared" si="466"/>
        <v>0</v>
      </c>
      <c r="H770" s="102">
        <f t="shared" si="466"/>
        <v>0</v>
      </c>
      <c r="I770" s="45">
        <f>SUM(I771:I772)</f>
        <v>0</v>
      </c>
      <c r="J770" s="45">
        <f>SUM(J771:J772)</f>
        <v>0</v>
      </c>
      <c r="K770" s="45">
        <f>SUM(K771:K772)</f>
        <v>0</v>
      </c>
      <c r="L770" s="103">
        <f>SUM(L771:L772)</f>
        <v>0</v>
      </c>
      <c r="M770" s="102">
        <f t="shared" si="466"/>
        <v>0</v>
      </c>
      <c r="N770" s="104">
        <f t="shared" si="466"/>
        <v>0</v>
      </c>
      <c r="O770" s="102">
        <f t="shared" si="466"/>
        <v>0</v>
      </c>
      <c r="P770" s="105">
        <f t="shared" si="466"/>
        <v>0</v>
      </c>
      <c r="Q770" s="106"/>
    </row>
    <row r="771" spans="1:17" ht="12.75" customHeight="1">
      <c r="A771" s="113" t="s">
        <v>20</v>
      </c>
      <c r="B771" s="114"/>
      <c r="C771" s="114"/>
      <c r="D771" s="114">
        <f>+B771+C771</f>
        <v>0</v>
      </c>
      <c r="E771" s="114"/>
      <c r="F771" s="114"/>
      <c r="G771" s="114"/>
      <c r="H771" s="114">
        <f>SUM(E771:G771)</f>
        <v>0</v>
      </c>
      <c r="I771" s="43"/>
      <c r="J771" s="43"/>
      <c r="K771" s="43"/>
      <c r="L771" s="78">
        <f>SUM(I771:K771)</f>
        <v>0</v>
      </c>
      <c r="M771" s="114">
        <f t="shared" ref="M771:O772" si="467">+E771-I771</f>
        <v>0</v>
      </c>
      <c r="N771" s="115">
        <f t="shared" si="467"/>
        <v>0</v>
      </c>
      <c r="O771" s="114">
        <f t="shared" si="467"/>
        <v>0</v>
      </c>
      <c r="P771" s="116">
        <f>SUM(M771:O771)</f>
        <v>0</v>
      </c>
      <c r="Q771" s="106"/>
    </row>
    <row r="772" spans="1:17" ht="12.75" customHeight="1">
      <c r="A772" s="113" t="s">
        <v>21</v>
      </c>
      <c r="B772" s="114"/>
      <c r="C772" s="114"/>
      <c r="D772" s="114">
        <f>+B772+C772</f>
        <v>0</v>
      </c>
      <c r="E772" s="114"/>
      <c r="F772" s="114"/>
      <c r="G772" s="114"/>
      <c r="H772" s="114">
        <f>SUM(E772:G772)</f>
        <v>0</v>
      </c>
      <c r="I772" s="43"/>
      <c r="J772" s="43"/>
      <c r="K772" s="43"/>
      <c r="L772" s="78">
        <f>SUM(I772:K772)</f>
        <v>0</v>
      </c>
      <c r="M772" s="114">
        <f t="shared" si="467"/>
        <v>0</v>
      </c>
      <c r="N772" s="115">
        <f t="shared" si="467"/>
        <v>0</v>
      </c>
      <c r="O772" s="114">
        <f t="shared" si="467"/>
        <v>0</v>
      </c>
      <c r="P772" s="116">
        <f>SUM(M772:O772)</f>
        <v>0</v>
      </c>
      <c r="Q772" s="106"/>
    </row>
    <row r="773" spans="1:17" ht="12.75" customHeight="1">
      <c r="A773" s="121"/>
      <c r="B773" s="122"/>
      <c r="C773" s="122"/>
      <c r="D773" s="122"/>
      <c r="E773" s="114"/>
      <c r="F773" s="114"/>
      <c r="G773" s="114"/>
      <c r="H773" s="114"/>
      <c r="I773" s="43"/>
      <c r="J773" s="43"/>
      <c r="K773" s="43"/>
      <c r="L773" s="78"/>
      <c r="M773" s="114"/>
      <c r="N773" s="115"/>
      <c r="O773" s="114"/>
      <c r="P773" s="116"/>
      <c r="Q773" s="106"/>
    </row>
    <row r="774" spans="1:17">
      <c r="A774" s="120" t="s">
        <v>306</v>
      </c>
      <c r="B774" s="102">
        <f>+B775+B779</f>
        <v>259280</v>
      </c>
      <c r="C774" s="102">
        <f>+C775+C779</f>
        <v>143140</v>
      </c>
      <c r="D774" s="102">
        <f>+D775+D779</f>
        <v>402420</v>
      </c>
      <c r="E774" s="102">
        <f t="shared" ref="E774:P774" si="468">+E775+E779</f>
        <v>229839</v>
      </c>
      <c r="F774" s="102">
        <f t="shared" si="468"/>
        <v>44830</v>
      </c>
      <c r="G774" s="102">
        <f t="shared" si="468"/>
        <v>128089</v>
      </c>
      <c r="H774" s="102">
        <f t="shared" si="468"/>
        <v>402758</v>
      </c>
      <c r="I774" s="45">
        <f t="shared" si="468"/>
        <v>229198</v>
      </c>
      <c r="J774" s="45">
        <f t="shared" si="468"/>
        <v>37391</v>
      </c>
      <c r="K774" s="45">
        <f t="shared" si="468"/>
        <v>56257</v>
      </c>
      <c r="L774" s="103">
        <f t="shared" si="468"/>
        <v>322846</v>
      </c>
      <c r="M774" s="102">
        <f t="shared" si="468"/>
        <v>641</v>
      </c>
      <c r="N774" s="104">
        <f t="shared" si="468"/>
        <v>7439</v>
      </c>
      <c r="O774" s="102">
        <f t="shared" si="468"/>
        <v>71832</v>
      </c>
      <c r="P774" s="105">
        <f t="shared" si="468"/>
        <v>79912</v>
      </c>
      <c r="Q774" s="106">
        <f>+L774/H774</f>
        <v>0.80158805039254344</v>
      </c>
    </row>
    <row r="775" spans="1:17" ht="12.75" customHeight="1">
      <c r="A775" s="127" t="s">
        <v>15</v>
      </c>
      <c r="B775" s="108">
        <f>SUM(B776:B778)</f>
        <v>259280</v>
      </c>
      <c r="C775" s="108">
        <f>SUM(C776:C778)</f>
        <v>138975</v>
      </c>
      <c r="D775" s="108">
        <f>SUM(D776:D778)</f>
        <v>398255</v>
      </c>
      <c r="E775" s="108">
        <f t="shared" ref="E775:P775" si="469">SUM(E776:E778)</f>
        <v>229839</v>
      </c>
      <c r="F775" s="108">
        <f t="shared" si="469"/>
        <v>43712</v>
      </c>
      <c r="G775" s="108">
        <f t="shared" si="469"/>
        <v>125042</v>
      </c>
      <c r="H775" s="108">
        <f t="shared" si="469"/>
        <v>398593</v>
      </c>
      <c r="I775" s="109">
        <f>SUM(I776:I778)</f>
        <v>229198</v>
      </c>
      <c r="J775" s="109">
        <f>SUM(J776:J778)</f>
        <v>36273</v>
      </c>
      <c r="K775" s="109">
        <f>SUM(K776:K778)</f>
        <v>53677</v>
      </c>
      <c r="L775" s="110">
        <f>SUM(L776:L778)</f>
        <v>319148</v>
      </c>
      <c r="M775" s="108">
        <f t="shared" si="469"/>
        <v>641</v>
      </c>
      <c r="N775" s="111">
        <f t="shared" si="469"/>
        <v>7439</v>
      </c>
      <c r="O775" s="108">
        <f t="shared" si="469"/>
        <v>71365</v>
      </c>
      <c r="P775" s="112">
        <f t="shared" si="469"/>
        <v>79445</v>
      </c>
      <c r="Q775" s="106"/>
    </row>
    <row r="776" spans="1:17" ht="12.75" customHeight="1">
      <c r="A776" s="113" t="s">
        <v>16</v>
      </c>
      <c r="B776" s="114">
        <v>241509</v>
      </c>
      <c r="C776" s="114">
        <v>450</v>
      </c>
      <c r="D776" s="114">
        <f>+B776+C776</f>
        <v>241959</v>
      </c>
      <c r="E776" s="114">
        <v>198248</v>
      </c>
      <c r="F776" s="114">
        <v>43712</v>
      </c>
      <c r="G776" s="114"/>
      <c r="H776" s="114">
        <f>SUM(E776:G776)</f>
        <v>241960</v>
      </c>
      <c r="I776" s="43">
        <v>198247</v>
      </c>
      <c r="J776" s="43">
        <v>36273</v>
      </c>
      <c r="K776" s="43"/>
      <c r="L776" s="78">
        <f>SUM(I776:K776)</f>
        <v>234520</v>
      </c>
      <c r="M776" s="114">
        <f t="shared" ref="M776:O778" si="470">+E776-I776</f>
        <v>1</v>
      </c>
      <c r="N776" s="115">
        <f t="shared" si="470"/>
        <v>7439</v>
      </c>
      <c r="O776" s="114">
        <f t="shared" si="470"/>
        <v>0</v>
      </c>
      <c r="P776" s="116">
        <f>SUM(M776:O776)</f>
        <v>7440</v>
      </c>
      <c r="Q776" s="106"/>
    </row>
    <row r="777" spans="1:17" ht="12.75" customHeight="1">
      <c r="A777" s="113" t="s">
        <v>17</v>
      </c>
      <c r="B777" s="114"/>
      <c r="C777" s="114">
        <f>+H777</f>
        <v>138525</v>
      </c>
      <c r="D777" s="114">
        <f>+B777+C777</f>
        <v>138525</v>
      </c>
      <c r="E777" s="114">
        <v>13483</v>
      </c>
      <c r="F777" s="114"/>
      <c r="G777" s="114">
        <v>125042</v>
      </c>
      <c r="H777" s="114">
        <f>SUM(E777:G777)</f>
        <v>138525</v>
      </c>
      <c r="I777" s="43">
        <v>13483</v>
      </c>
      <c r="J777" s="43"/>
      <c r="K777" s="43">
        <v>53677</v>
      </c>
      <c r="L777" s="78">
        <f>SUM(I777:K777)</f>
        <v>67160</v>
      </c>
      <c r="M777" s="114">
        <f t="shared" si="470"/>
        <v>0</v>
      </c>
      <c r="N777" s="115">
        <f t="shared" si="470"/>
        <v>0</v>
      </c>
      <c r="O777" s="114">
        <f t="shared" si="470"/>
        <v>71365</v>
      </c>
      <c r="P777" s="116">
        <f>SUM(M777:O777)</f>
        <v>71365</v>
      </c>
      <c r="Q777" s="106"/>
    </row>
    <row r="778" spans="1:17" ht="12.75" customHeight="1">
      <c r="A778" s="113" t="s">
        <v>18</v>
      </c>
      <c r="B778" s="114">
        <v>17771</v>
      </c>
      <c r="C778" s="114"/>
      <c r="D778" s="114">
        <f>+B778+C778</f>
        <v>17771</v>
      </c>
      <c r="E778" s="114">
        <v>18108</v>
      </c>
      <c r="F778" s="114"/>
      <c r="G778" s="114"/>
      <c r="H778" s="114">
        <f>SUM(E778:G778)</f>
        <v>18108</v>
      </c>
      <c r="I778" s="43">
        <v>17468</v>
      </c>
      <c r="J778" s="43"/>
      <c r="K778" s="43"/>
      <c r="L778" s="78">
        <f>SUM(I778:K778)</f>
        <v>17468</v>
      </c>
      <c r="M778" s="114">
        <f t="shared" si="470"/>
        <v>640</v>
      </c>
      <c r="N778" s="115">
        <f t="shared" si="470"/>
        <v>0</v>
      </c>
      <c r="O778" s="114">
        <f t="shared" si="470"/>
        <v>0</v>
      </c>
      <c r="P778" s="116">
        <f>SUM(M778:O778)</f>
        <v>640</v>
      </c>
      <c r="Q778" s="106"/>
    </row>
    <row r="779" spans="1:17" ht="12.75" customHeight="1">
      <c r="A779" s="113" t="s">
        <v>19</v>
      </c>
      <c r="B779" s="102">
        <f>SUM(B780:B781)</f>
        <v>0</v>
      </c>
      <c r="C779" s="102">
        <f>SUM(C780:C781)</f>
        <v>4165</v>
      </c>
      <c r="D779" s="102">
        <f>SUM(D780:D781)</f>
        <v>4165</v>
      </c>
      <c r="E779" s="102">
        <f t="shared" ref="E779:P779" si="471">SUM(E780:E781)</f>
        <v>0</v>
      </c>
      <c r="F779" s="102">
        <f t="shared" si="471"/>
        <v>1118</v>
      </c>
      <c r="G779" s="102">
        <f t="shared" si="471"/>
        <v>3047</v>
      </c>
      <c r="H779" s="102">
        <f t="shared" si="471"/>
        <v>4165</v>
      </c>
      <c r="I779" s="45">
        <f>SUM(I780:I781)</f>
        <v>0</v>
      </c>
      <c r="J779" s="45">
        <f>SUM(J780:J781)</f>
        <v>1118</v>
      </c>
      <c r="K779" s="45">
        <f>SUM(K780:K781)</f>
        <v>2580</v>
      </c>
      <c r="L779" s="103">
        <f>SUM(L780:L781)</f>
        <v>3698</v>
      </c>
      <c r="M779" s="102">
        <f t="shared" si="471"/>
        <v>0</v>
      </c>
      <c r="N779" s="104">
        <f t="shared" si="471"/>
        <v>0</v>
      </c>
      <c r="O779" s="102">
        <f t="shared" si="471"/>
        <v>467</v>
      </c>
      <c r="P779" s="105">
        <f t="shared" si="471"/>
        <v>467</v>
      </c>
      <c r="Q779" s="106"/>
    </row>
    <row r="780" spans="1:17" ht="12.75" customHeight="1">
      <c r="A780" s="113" t="s">
        <v>20</v>
      </c>
      <c r="B780" s="114"/>
      <c r="C780" s="114">
        <f>+H780</f>
        <v>4165</v>
      </c>
      <c r="D780" s="114">
        <f>+B780+C780</f>
        <v>4165</v>
      </c>
      <c r="E780" s="114"/>
      <c r="F780" s="114">
        <v>1118</v>
      </c>
      <c r="G780" s="114">
        <v>3047</v>
      </c>
      <c r="H780" s="114">
        <f>SUM(E780:G780)</f>
        <v>4165</v>
      </c>
      <c r="I780" s="43"/>
      <c r="J780" s="43">
        <v>1118</v>
      </c>
      <c r="K780" s="43">
        <v>2580</v>
      </c>
      <c r="L780" s="78">
        <f>SUM(I780:K780)</f>
        <v>3698</v>
      </c>
      <c r="M780" s="114">
        <f t="shared" ref="M780:O781" si="472">+E780-I780</f>
        <v>0</v>
      </c>
      <c r="N780" s="115">
        <f t="shared" si="472"/>
        <v>0</v>
      </c>
      <c r="O780" s="114">
        <f t="shared" si="472"/>
        <v>467</v>
      </c>
      <c r="P780" s="116">
        <f>SUM(M780:O780)</f>
        <v>467</v>
      </c>
      <c r="Q780" s="106"/>
    </row>
    <row r="781" spans="1:17" ht="12.75" customHeight="1">
      <c r="A781" s="113" t="s">
        <v>21</v>
      </c>
      <c r="B781" s="114"/>
      <c r="C781" s="114"/>
      <c r="D781" s="114">
        <f>+B781+C781</f>
        <v>0</v>
      </c>
      <c r="E781" s="114"/>
      <c r="F781" s="114"/>
      <c r="G781" s="114"/>
      <c r="H781" s="114">
        <f>SUM(E781:G781)</f>
        <v>0</v>
      </c>
      <c r="I781" s="43"/>
      <c r="J781" s="43"/>
      <c r="K781" s="43"/>
      <c r="L781" s="78">
        <f>SUM(I781:K781)</f>
        <v>0</v>
      </c>
      <c r="M781" s="114">
        <f t="shared" si="472"/>
        <v>0</v>
      </c>
      <c r="N781" s="115">
        <f t="shared" si="472"/>
        <v>0</v>
      </c>
      <c r="O781" s="114">
        <f t="shared" si="472"/>
        <v>0</v>
      </c>
      <c r="P781" s="116">
        <f>SUM(M781:O781)</f>
        <v>0</v>
      </c>
      <c r="Q781" s="106"/>
    </row>
    <row r="782" spans="1:17" ht="12.75" customHeight="1">
      <c r="A782" s="121"/>
      <c r="B782" s="122"/>
      <c r="C782" s="122"/>
      <c r="D782" s="122"/>
      <c r="E782" s="114"/>
      <c r="F782" s="114"/>
      <c r="G782" s="114"/>
      <c r="H782" s="148"/>
      <c r="I782" s="43"/>
      <c r="J782" s="43"/>
      <c r="K782" s="43"/>
      <c r="L782" s="78"/>
      <c r="M782" s="114"/>
      <c r="N782" s="115"/>
      <c r="O782" s="114"/>
      <c r="P782" s="116"/>
      <c r="Q782" s="106"/>
    </row>
    <row r="783" spans="1:17" ht="12.75" customHeight="1">
      <c r="A783" s="135" t="s">
        <v>307</v>
      </c>
      <c r="B783" s="102">
        <f>+B784+B788</f>
        <v>143841</v>
      </c>
      <c r="C783" s="102">
        <f>+C784+C788</f>
        <v>34478</v>
      </c>
      <c r="D783" s="102">
        <f>+D784+D788</f>
        <v>178319</v>
      </c>
      <c r="E783" s="102">
        <f t="shared" ref="E783:P783" si="473">+E784+E788</f>
        <v>110756</v>
      </c>
      <c r="F783" s="102">
        <f t="shared" si="473"/>
        <v>48874</v>
      </c>
      <c r="G783" s="102">
        <f t="shared" si="473"/>
        <v>37826</v>
      </c>
      <c r="H783" s="102">
        <f t="shared" si="473"/>
        <v>197456</v>
      </c>
      <c r="I783" s="45">
        <f t="shared" si="473"/>
        <v>108787</v>
      </c>
      <c r="J783" s="45">
        <f t="shared" si="473"/>
        <v>46696</v>
      </c>
      <c r="K783" s="45">
        <f t="shared" si="473"/>
        <v>18926</v>
      </c>
      <c r="L783" s="103">
        <f t="shared" si="473"/>
        <v>174409</v>
      </c>
      <c r="M783" s="102">
        <f t="shared" si="473"/>
        <v>1969</v>
      </c>
      <c r="N783" s="104">
        <f t="shared" si="473"/>
        <v>2178</v>
      </c>
      <c r="O783" s="102">
        <f t="shared" si="473"/>
        <v>18900</v>
      </c>
      <c r="P783" s="105">
        <f t="shared" si="473"/>
        <v>23047</v>
      </c>
      <c r="Q783" s="106">
        <f>+L783/H783</f>
        <v>0.88328032574345672</v>
      </c>
    </row>
    <row r="784" spans="1:17" ht="12.75" customHeight="1">
      <c r="A784" s="127" t="s">
        <v>15</v>
      </c>
      <c r="B784" s="108">
        <f>SUM(B785:B787)</f>
        <v>143841</v>
      </c>
      <c r="C784" s="108">
        <f>SUM(C785:C787)</f>
        <v>5645</v>
      </c>
      <c r="D784" s="108">
        <f>SUM(D785:D787)</f>
        <v>149486</v>
      </c>
      <c r="E784" s="108">
        <f t="shared" ref="E784:P784" si="474">SUM(E785:E787)</f>
        <v>110756</v>
      </c>
      <c r="F784" s="108">
        <f t="shared" si="474"/>
        <v>38730</v>
      </c>
      <c r="G784" s="108">
        <f t="shared" si="474"/>
        <v>19137</v>
      </c>
      <c r="H784" s="108">
        <f t="shared" si="474"/>
        <v>168623</v>
      </c>
      <c r="I784" s="109">
        <f>SUM(I785:I787)</f>
        <v>108787</v>
      </c>
      <c r="J784" s="109">
        <f>SUM(J785:J787)</f>
        <v>36552</v>
      </c>
      <c r="K784" s="109">
        <f>SUM(K785:K787)</f>
        <v>348</v>
      </c>
      <c r="L784" s="110">
        <f>SUM(L785:L787)</f>
        <v>145687</v>
      </c>
      <c r="M784" s="108">
        <f t="shared" si="474"/>
        <v>1969</v>
      </c>
      <c r="N784" s="111">
        <f t="shared" si="474"/>
        <v>2178</v>
      </c>
      <c r="O784" s="108">
        <f t="shared" si="474"/>
        <v>18789</v>
      </c>
      <c r="P784" s="112">
        <f t="shared" si="474"/>
        <v>22936</v>
      </c>
      <c r="Q784" s="106"/>
    </row>
    <row r="785" spans="1:17" ht="12.75" customHeight="1">
      <c r="A785" s="113" t="s">
        <v>16</v>
      </c>
      <c r="B785" s="114">
        <v>135890</v>
      </c>
      <c r="C785" s="114"/>
      <c r="D785" s="114">
        <f>+B785+C785</f>
        <v>135890</v>
      </c>
      <c r="E785" s="114">
        <v>97160</v>
      </c>
      <c r="F785" s="114">
        <v>38730</v>
      </c>
      <c r="G785" s="114">
        <v>19137</v>
      </c>
      <c r="H785" s="114">
        <f>SUM(E785:G785)</f>
        <v>155027</v>
      </c>
      <c r="I785" s="43">
        <v>95191</v>
      </c>
      <c r="J785" s="43">
        <v>36552</v>
      </c>
      <c r="K785" s="43">
        <v>348</v>
      </c>
      <c r="L785" s="78">
        <f>SUM(I785:K785)</f>
        <v>132091</v>
      </c>
      <c r="M785" s="114">
        <f t="shared" ref="M785:O787" si="475">+E785-I785</f>
        <v>1969</v>
      </c>
      <c r="N785" s="115">
        <f t="shared" si="475"/>
        <v>2178</v>
      </c>
      <c r="O785" s="114">
        <f t="shared" si="475"/>
        <v>18789</v>
      </c>
      <c r="P785" s="116">
        <f>SUM(M785:O785)</f>
        <v>22936</v>
      </c>
      <c r="Q785" s="106"/>
    </row>
    <row r="786" spans="1:17" ht="12.75" customHeight="1">
      <c r="A786" s="113" t="s">
        <v>17</v>
      </c>
      <c r="B786" s="114"/>
      <c r="C786" s="114">
        <f>+H786</f>
        <v>5645</v>
      </c>
      <c r="D786" s="114">
        <f>+B786+C786</f>
        <v>5645</v>
      </c>
      <c r="E786" s="114">
        <v>5645</v>
      </c>
      <c r="F786" s="114"/>
      <c r="G786" s="114"/>
      <c r="H786" s="114">
        <f>SUM(E786:G786)</f>
        <v>5645</v>
      </c>
      <c r="I786" s="43">
        <v>5645</v>
      </c>
      <c r="J786" s="43"/>
      <c r="K786" s="43"/>
      <c r="L786" s="78">
        <f>SUM(I786:K786)</f>
        <v>5645</v>
      </c>
      <c r="M786" s="114">
        <f t="shared" si="475"/>
        <v>0</v>
      </c>
      <c r="N786" s="115">
        <f t="shared" si="475"/>
        <v>0</v>
      </c>
      <c r="O786" s="114">
        <f t="shared" si="475"/>
        <v>0</v>
      </c>
      <c r="P786" s="116">
        <f>SUM(M786:O786)</f>
        <v>0</v>
      </c>
      <c r="Q786" s="106"/>
    </row>
    <row r="787" spans="1:17" ht="12.75" customHeight="1">
      <c r="A787" s="113" t="s">
        <v>18</v>
      </c>
      <c r="B787" s="114">
        <v>7951</v>
      </c>
      <c r="C787" s="114"/>
      <c r="D787" s="114">
        <f>+B787+C787</f>
        <v>7951</v>
      </c>
      <c r="E787" s="114">
        <v>7951</v>
      </c>
      <c r="F787" s="114"/>
      <c r="G787" s="114"/>
      <c r="H787" s="114">
        <f>SUM(E787:G787)</f>
        <v>7951</v>
      </c>
      <c r="I787" s="43">
        <v>7951</v>
      </c>
      <c r="J787" s="43"/>
      <c r="K787" s="43"/>
      <c r="L787" s="78">
        <f>SUM(I787:K787)</f>
        <v>7951</v>
      </c>
      <c r="M787" s="114">
        <f t="shared" si="475"/>
        <v>0</v>
      </c>
      <c r="N787" s="115">
        <f t="shared" si="475"/>
        <v>0</v>
      </c>
      <c r="O787" s="114">
        <f t="shared" si="475"/>
        <v>0</v>
      </c>
      <c r="P787" s="116">
        <f>SUM(M787:O787)</f>
        <v>0</v>
      </c>
      <c r="Q787" s="106"/>
    </row>
    <row r="788" spans="1:17" ht="12.75" customHeight="1">
      <c r="A788" s="113" t="s">
        <v>19</v>
      </c>
      <c r="B788" s="102">
        <f>SUM(B789:B790)</f>
        <v>0</v>
      </c>
      <c r="C788" s="102">
        <f>SUM(C789:C790)</f>
        <v>28833</v>
      </c>
      <c r="D788" s="102">
        <f>SUM(D789:D790)</f>
        <v>28833</v>
      </c>
      <c r="E788" s="102">
        <f t="shared" ref="E788:P788" si="476">SUM(E789:E790)</f>
        <v>0</v>
      </c>
      <c r="F788" s="102">
        <f t="shared" si="476"/>
        <v>10144</v>
      </c>
      <c r="G788" s="102">
        <f t="shared" si="476"/>
        <v>18689</v>
      </c>
      <c r="H788" s="102">
        <f t="shared" si="476"/>
        <v>28833</v>
      </c>
      <c r="I788" s="45">
        <f>SUM(I789:I790)</f>
        <v>0</v>
      </c>
      <c r="J788" s="45">
        <f>SUM(J789:J790)</f>
        <v>10144</v>
      </c>
      <c r="K788" s="45">
        <f>SUM(K789:K790)</f>
        <v>18578</v>
      </c>
      <c r="L788" s="103">
        <f>SUM(L789:L790)</f>
        <v>28722</v>
      </c>
      <c r="M788" s="102">
        <f t="shared" si="476"/>
        <v>0</v>
      </c>
      <c r="N788" s="104">
        <f t="shared" si="476"/>
        <v>0</v>
      </c>
      <c r="O788" s="102">
        <f t="shared" si="476"/>
        <v>111</v>
      </c>
      <c r="P788" s="105">
        <f t="shared" si="476"/>
        <v>111</v>
      </c>
      <c r="Q788" s="106"/>
    </row>
    <row r="789" spans="1:17" ht="12.75" customHeight="1">
      <c r="A789" s="113" t="s">
        <v>20</v>
      </c>
      <c r="B789" s="114"/>
      <c r="C789" s="114">
        <f>+H789</f>
        <v>28833</v>
      </c>
      <c r="D789" s="114">
        <f>+B789+C789</f>
        <v>28833</v>
      </c>
      <c r="E789" s="114"/>
      <c r="F789" s="114">
        <v>10144</v>
      </c>
      <c r="G789" s="114">
        <v>18689</v>
      </c>
      <c r="H789" s="114">
        <f>SUM(E789:G789)</f>
        <v>28833</v>
      </c>
      <c r="I789" s="43"/>
      <c r="J789" s="43">
        <v>10144</v>
      </c>
      <c r="K789" s="43">
        <v>18578</v>
      </c>
      <c r="L789" s="78">
        <f>SUM(I789:K789)</f>
        <v>28722</v>
      </c>
      <c r="M789" s="114">
        <f t="shared" ref="M789:O790" si="477">+E789-I789</f>
        <v>0</v>
      </c>
      <c r="N789" s="115">
        <f t="shared" si="477"/>
        <v>0</v>
      </c>
      <c r="O789" s="114">
        <f t="shared" si="477"/>
        <v>111</v>
      </c>
      <c r="P789" s="116">
        <f>SUM(M789:O789)</f>
        <v>111</v>
      </c>
      <c r="Q789" s="106"/>
    </row>
    <row r="790" spans="1:17" ht="12.75" customHeight="1">
      <c r="A790" s="113" t="s">
        <v>21</v>
      </c>
      <c r="B790" s="114"/>
      <c r="C790" s="114">
        <f>+H790</f>
        <v>0</v>
      </c>
      <c r="D790" s="114">
        <f>+B790+C790</f>
        <v>0</v>
      </c>
      <c r="E790" s="114"/>
      <c r="F790" s="114"/>
      <c r="G790" s="114"/>
      <c r="H790" s="114">
        <f>SUM(E790:G790)</f>
        <v>0</v>
      </c>
      <c r="I790" s="43"/>
      <c r="J790" s="43"/>
      <c r="K790" s="43"/>
      <c r="L790" s="78">
        <f>SUM(I790:K790)</f>
        <v>0</v>
      </c>
      <c r="M790" s="114">
        <f t="shared" si="477"/>
        <v>0</v>
      </c>
      <c r="N790" s="115">
        <f t="shared" si="477"/>
        <v>0</v>
      </c>
      <c r="O790" s="114">
        <f t="shared" si="477"/>
        <v>0</v>
      </c>
      <c r="P790" s="116">
        <f>SUM(M790:O790)</f>
        <v>0</v>
      </c>
      <c r="Q790" s="106"/>
    </row>
    <row r="791" spans="1:17" ht="12.75" customHeight="1">
      <c r="A791" s="127"/>
      <c r="B791" s="137"/>
      <c r="C791" s="137"/>
      <c r="D791" s="137"/>
      <c r="E791" s="114"/>
      <c r="F791" s="114"/>
      <c r="G791" s="114"/>
      <c r="H791" s="148"/>
      <c r="I791" s="43"/>
      <c r="J791" s="43"/>
      <c r="K791" s="43"/>
      <c r="L791" s="78"/>
      <c r="M791" s="114"/>
      <c r="N791" s="115"/>
      <c r="O791" s="114"/>
      <c r="P791" s="116"/>
      <c r="Q791" s="106"/>
    </row>
    <row r="792" spans="1:17">
      <c r="A792" s="135" t="s">
        <v>308</v>
      </c>
      <c r="B792" s="102">
        <f>+B793+B797</f>
        <v>115119</v>
      </c>
      <c r="C792" s="102">
        <f>+C793+C797</f>
        <v>20017</v>
      </c>
      <c r="D792" s="102">
        <f>+D793+D797</f>
        <v>135136</v>
      </c>
      <c r="E792" s="102">
        <f t="shared" ref="E792:P792" si="478">+E793+E797</f>
        <v>93724</v>
      </c>
      <c r="F792" s="102">
        <f t="shared" si="478"/>
        <v>29386</v>
      </c>
      <c r="G792" s="102">
        <f t="shared" si="478"/>
        <v>12122</v>
      </c>
      <c r="H792" s="102">
        <f t="shared" si="478"/>
        <v>135232</v>
      </c>
      <c r="I792" s="45">
        <f t="shared" si="478"/>
        <v>91885</v>
      </c>
      <c r="J792" s="45">
        <f t="shared" si="478"/>
        <v>24835</v>
      </c>
      <c r="K792" s="45">
        <f t="shared" si="478"/>
        <v>10647</v>
      </c>
      <c r="L792" s="103">
        <f t="shared" si="478"/>
        <v>127367</v>
      </c>
      <c r="M792" s="102">
        <f t="shared" si="478"/>
        <v>1839</v>
      </c>
      <c r="N792" s="104">
        <f t="shared" si="478"/>
        <v>4551</v>
      </c>
      <c r="O792" s="102">
        <f t="shared" si="478"/>
        <v>1475</v>
      </c>
      <c r="P792" s="105">
        <f t="shared" si="478"/>
        <v>7865</v>
      </c>
      <c r="Q792" s="106">
        <f>+L792/H792</f>
        <v>0.9418406885944155</v>
      </c>
    </row>
    <row r="793" spans="1:17" ht="12.75" customHeight="1">
      <c r="A793" s="127" t="s">
        <v>15</v>
      </c>
      <c r="B793" s="108">
        <f>SUM(B794:B796)</f>
        <v>115119</v>
      </c>
      <c r="C793" s="108">
        <f>SUM(C794:C796)</f>
        <v>20017</v>
      </c>
      <c r="D793" s="108">
        <f>SUM(D794:D796)</f>
        <v>135136</v>
      </c>
      <c r="E793" s="108">
        <f t="shared" ref="E793:P793" si="479">SUM(E794:E796)</f>
        <v>93724</v>
      </c>
      <c r="F793" s="108">
        <f t="shared" si="479"/>
        <v>29386</v>
      </c>
      <c r="G793" s="108">
        <f t="shared" si="479"/>
        <v>12122</v>
      </c>
      <c r="H793" s="108">
        <f t="shared" si="479"/>
        <v>135232</v>
      </c>
      <c r="I793" s="109">
        <f>SUM(I794:I796)</f>
        <v>91885</v>
      </c>
      <c r="J793" s="109">
        <f>SUM(J794:J796)</f>
        <v>24835</v>
      </c>
      <c r="K793" s="109">
        <f>SUM(K794:K796)</f>
        <v>10647</v>
      </c>
      <c r="L793" s="110">
        <f>SUM(L794:L796)</f>
        <v>127367</v>
      </c>
      <c r="M793" s="108">
        <f t="shared" si="479"/>
        <v>1839</v>
      </c>
      <c r="N793" s="111">
        <f t="shared" si="479"/>
        <v>4551</v>
      </c>
      <c r="O793" s="108">
        <f t="shared" si="479"/>
        <v>1475</v>
      </c>
      <c r="P793" s="112">
        <f t="shared" si="479"/>
        <v>7865</v>
      </c>
      <c r="Q793" s="106"/>
    </row>
    <row r="794" spans="1:17" ht="12.75" customHeight="1">
      <c r="A794" s="113" t="s">
        <v>16</v>
      </c>
      <c r="B794" s="114">
        <v>108247</v>
      </c>
      <c r="C794" s="114"/>
      <c r="D794" s="114">
        <f>+B794+C794</f>
        <v>108247</v>
      </c>
      <c r="E794" s="114">
        <v>78861</v>
      </c>
      <c r="F794" s="114">
        <v>29386</v>
      </c>
      <c r="G794" s="114"/>
      <c r="H794" s="114">
        <f>SUM(E794:G794)</f>
        <v>108247</v>
      </c>
      <c r="I794" s="43">
        <f>77210+58</f>
        <v>77268</v>
      </c>
      <c r="J794" s="43">
        <v>24835</v>
      </c>
      <c r="K794" s="43"/>
      <c r="L794" s="78">
        <f>SUM(I794:K794)</f>
        <v>102103</v>
      </c>
      <c r="M794" s="114">
        <f t="shared" ref="M794:O796" si="480">+E794-I794</f>
        <v>1593</v>
      </c>
      <c r="N794" s="115">
        <f t="shared" si="480"/>
        <v>4551</v>
      </c>
      <c r="O794" s="114">
        <f t="shared" si="480"/>
        <v>0</v>
      </c>
      <c r="P794" s="116">
        <f>SUM(M794:O794)</f>
        <v>6144</v>
      </c>
      <c r="Q794" s="106"/>
    </row>
    <row r="795" spans="1:17" ht="12.75" customHeight="1">
      <c r="A795" s="113" t="s">
        <v>17</v>
      </c>
      <c r="B795" s="114"/>
      <c r="C795" s="114">
        <f>+H795</f>
        <v>20017</v>
      </c>
      <c r="D795" s="114">
        <f>+B795+C795</f>
        <v>20017</v>
      </c>
      <c r="E795" s="114">
        <v>7895</v>
      </c>
      <c r="F795" s="114"/>
      <c r="G795" s="114">
        <v>12122</v>
      </c>
      <c r="H795" s="114">
        <f>SUM(E795:G795)</f>
        <v>20017</v>
      </c>
      <c r="I795" s="43">
        <f>7953-58</f>
        <v>7895</v>
      </c>
      <c r="J795" s="43"/>
      <c r="K795" s="43">
        <v>10647</v>
      </c>
      <c r="L795" s="78">
        <f>SUM(I795:K795)</f>
        <v>18542</v>
      </c>
      <c r="M795" s="114">
        <f t="shared" si="480"/>
        <v>0</v>
      </c>
      <c r="N795" s="115">
        <f t="shared" si="480"/>
        <v>0</v>
      </c>
      <c r="O795" s="114">
        <f t="shared" si="480"/>
        <v>1475</v>
      </c>
      <c r="P795" s="116">
        <f>SUM(M795:O795)</f>
        <v>1475</v>
      </c>
      <c r="Q795" s="106"/>
    </row>
    <row r="796" spans="1:17" ht="12.75" customHeight="1">
      <c r="A796" s="113" t="s">
        <v>18</v>
      </c>
      <c r="B796" s="114">
        <v>6872</v>
      </c>
      <c r="C796" s="114"/>
      <c r="D796" s="114">
        <f>+B796+C796</f>
        <v>6872</v>
      </c>
      <c r="E796" s="114">
        <v>6968</v>
      </c>
      <c r="F796" s="114"/>
      <c r="G796" s="114"/>
      <c r="H796" s="114">
        <f>SUM(E796:G796)</f>
        <v>6968</v>
      </c>
      <c r="I796" s="43">
        <v>6722</v>
      </c>
      <c r="J796" s="43"/>
      <c r="K796" s="43"/>
      <c r="L796" s="78">
        <f>SUM(I796:K796)</f>
        <v>6722</v>
      </c>
      <c r="M796" s="114">
        <f t="shared" si="480"/>
        <v>246</v>
      </c>
      <c r="N796" s="115">
        <f t="shared" si="480"/>
        <v>0</v>
      </c>
      <c r="O796" s="114">
        <f t="shared" si="480"/>
        <v>0</v>
      </c>
      <c r="P796" s="116">
        <f>SUM(M796:O796)</f>
        <v>246</v>
      </c>
      <c r="Q796" s="106"/>
    </row>
    <row r="797" spans="1:17" ht="12.75" customHeight="1">
      <c r="A797" s="113" t="s">
        <v>19</v>
      </c>
      <c r="B797" s="102">
        <f>SUM(B798:B799)</f>
        <v>0</v>
      </c>
      <c r="C797" s="102">
        <f>SUM(C798:C799)</f>
        <v>0</v>
      </c>
      <c r="D797" s="102">
        <f>SUM(D798:D799)</f>
        <v>0</v>
      </c>
      <c r="E797" s="102">
        <f t="shared" ref="E797:P797" si="481">SUM(E798:E799)</f>
        <v>0</v>
      </c>
      <c r="F797" s="102">
        <f t="shared" si="481"/>
        <v>0</v>
      </c>
      <c r="G797" s="102">
        <f t="shared" si="481"/>
        <v>0</v>
      </c>
      <c r="H797" s="102">
        <f t="shared" si="481"/>
        <v>0</v>
      </c>
      <c r="I797" s="45">
        <f>SUM(I798:I799)</f>
        <v>0</v>
      </c>
      <c r="J797" s="45">
        <f>SUM(J798:J799)</f>
        <v>0</v>
      </c>
      <c r="K797" s="45">
        <f>SUM(K798:K799)</f>
        <v>0</v>
      </c>
      <c r="L797" s="103">
        <f>SUM(L798:L799)</f>
        <v>0</v>
      </c>
      <c r="M797" s="102">
        <f t="shared" si="481"/>
        <v>0</v>
      </c>
      <c r="N797" s="104">
        <f t="shared" si="481"/>
        <v>0</v>
      </c>
      <c r="O797" s="102">
        <f t="shared" si="481"/>
        <v>0</v>
      </c>
      <c r="P797" s="105">
        <f t="shared" si="481"/>
        <v>0</v>
      </c>
      <c r="Q797" s="106"/>
    </row>
    <row r="798" spans="1:17" ht="12.75" customHeight="1">
      <c r="A798" s="113" t="s">
        <v>20</v>
      </c>
      <c r="B798" s="114"/>
      <c r="C798" s="114"/>
      <c r="D798" s="114">
        <f>+B798+C798</f>
        <v>0</v>
      </c>
      <c r="E798" s="114"/>
      <c r="F798" s="114"/>
      <c r="G798" s="114"/>
      <c r="H798" s="114">
        <f>SUM(E798:G798)</f>
        <v>0</v>
      </c>
      <c r="I798" s="43"/>
      <c r="J798" s="43"/>
      <c r="K798" s="43"/>
      <c r="L798" s="78">
        <f>SUM(I798:K798)</f>
        <v>0</v>
      </c>
      <c r="M798" s="114">
        <f t="shared" ref="M798:O799" si="482">+E798-I798</f>
        <v>0</v>
      </c>
      <c r="N798" s="115">
        <f t="shared" si="482"/>
        <v>0</v>
      </c>
      <c r="O798" s="114">
        <f t="shared" si="482"/>
        <v>0</v>
      </c>
      <c r="P798" s="116">
        <f>SUM(M798:O798)</f>
        <v>0</v>
      </c>
      <c r="Q798" s="106"/>
    </row>
    <row r="799" spans="1:17" ht="12.75" customHeight="1">
      <c r="A799" s="113" t="s">
        <v>21</v>
      </c>
      <c r="B799" s="114"/>
      <c r="C799" s="114">
        <f>+H799</f>
        <v>0</v>
      </c>
      <c r="D799" s="114">
        <f>+B799+C799</f>
        <v>0</v>
      </c>
      <c r="E799" s="114"/>
      <c r="F799" s="114"/>
      <c r="G799" s="114"/>
      <c r="H799" s="114">
        <f>SUM(E799:G799)</f>
        <v>0</v>
      </c>
      <c r="I799" s="43"/>
      <c r="J799" s="43"/>
      <c r="K799" s="43"/>
      <c r="L799" s="78">
        <f>SUM(I799:K799)</f>
        <v>0</v>
      </c>
      <c r="M799" s="114">
        <f t="shared" si="482"/>
        <v>0</v>
      </c>
      <c r="N799" s="115">
        <f t="shared" si="482"/>
        <v>0</v>
      </c>
      <c r="O799" s="114">
        <f t="shared" si="482"/>
        <v>0</v>
      </c>
      <c r="P799" s="116">
        <f>SUM(M799:O799)</f>
        <v>0</v>
      </c>
      <c r="Q799" s="106"/>
    </row>
    <row r="800" spans="1:17" ht="12.75" customHeight="1">
      <c r="A800" s="225"/>
      <c r="B800" s="226"/>
      <c r="C800" s="226"/>
      <c r="D800" s="226"/>
      <c r="E800" s="102"/>
      <c r="F800" s="102"/>
      <c r="G800" s="102"/>
      <c r="H800" s="228"/>
      <c r="I800" s="45"/>
      <c r="J800" s="45"/>
      <c r="K800" s="45"/>
      <c r="L800" s="103"/>
      <c r="M800" s="102"/>
      <c r="N800" s="104"/>
      <c r="O800" s="102"/>
      <c r="P800" s="105"/>
      <c r="Q800" s="227"/>
    </row>
    <row r="801" spans="1:17">
      <c r="A801" s="120" t="s">
        <v>309</v>
      </c>
      <c r="B801" s="102">
        <f>+B802+B806</f>
        <v>104102</v>
      </c>
      <c r="C801" s="102">
        <f>+C802+C806</f>
        <v>4452</v>
      </c>
      <c r="D801" s="102">
        <f>+D802+D806</f>
        <v>108554</v>
      </c>
      <c r="E801" s="102">
        <f t="shared" ref="E801:P801" si="483">+E802+E806</f>
        <v>84758</v>
      </c>
      <c r="F801" s="102">
        <f t="shared" si="483"/>
        <v>27441</v>
      </c>
      <c r="G801" s="102">
        <f t="shared" si="483"/>
        <v>4934</v>
      </c>
      <c r="H801" s="102">
        <f t="shared" si="483"/>
        <v>117133</v>
      </c>
      <c r="I801" s="45">
        <f t="shared" si="483"/>
        <v>84312</v>
      </c>
      <c r="J801" s="45">
        <f t="shared" si="483"/>
        <v>22049</v>
      </c>
      <c r="K801" s="45">
        <f t="shared" si="483"/>
        <v>4448</v>
      </c>
      <c r="L801" s="103">
        <f t="shared" si="483"/>
        <v>110809</v>
      </c>
      <c r="M801" s="102">
        <f t="shared" si="483"/>
        <v>446</v>
      </c>
      <c r="N801" s="104">
        <f t="shared" si="483"/>
        <v>5392</v>
      </c>
      <c r="O801" s="102">
        <f t="shared" si="483"/>
        <v>486</v>
      </c>
      <c r="P801" s="105">
        <f t="shared" si="483"/>
        <v>6324</v>
      </c>
      <c r="Q801" s="106">
        <f>+L801/H801</f>
        <v>0.94601009109303102</v>
      </c>
    </row>
    <row r="802" spans="1:17" ht="12.75" customHeight="1">
      <c r="A802" s="127" t="s">
        <v>15</v>
      </c>
      <c r="B802" s="108">
        <f>SUM(B803:B805)</f>
        <v>104102</v>
      </c>
      <c r="C802" s="108">
        <f>SUM(C803:C805)</f>
        <v>4452</v>
      </c>
      <c r="D802" s="108">
        <f>SUM(D803:D805)</f>
        <v>108554</v>
      </c>
      <c r="E802" s="108">
        <f t="shared" ref="E802:P802" si="484">SUM(E803:E805)</f>
        <v>84758</v>
      </c>
      <c r="F802" s="108">
        <f t="shared" si="484"/>
        <v>23581</v>
      </c>
      <c r="G802" s="108">
        <f t="shared" si="484"/>
        <v>234</v>
      </c>
      <c r="H802" s="108">
        <f t="shared" si="484"/>
        <v>108573</v>
      </c>
      <c r="I802" s="109">
        <f>SUM(I803:I805)</f>
        <v>84312</v>
      </c>
      <c r="J802" s="109">
        <f>SUM(J803:J805)</f>
        <v>18221</v>
      </c>
      <c r="K802" s="109">
        <f>SUM(K803:K805)</f>
        <v>186</v>
      </c>
      <c r="L802" s="110">
        <f>SUM(L803:L805)</f>
        <v>102719</v>
      </c>
      <c r="M802" s="108">
        <f t="shared" si="484"/>
        <v>446</v>
      </c>
      <c r="N802" s="111">
        <f t="shared" si="484"/>
        <v>5360</v>
      </c>
      <c r="O802" s="108">
        <f t="shared" si="484"/>
        <v>48</v>
      </c>
      <c r="P802" s="112">
        <f t="shared" si="484"/>
        <v>5854</v>
      </c>
      <c r="Q802" s="106"/>
    </row>
    <row r="803" spans="1:17" ht="12.75" customHeight="1">
      <c r="A803" s="113" t="s">
        <v>16</v>
      </c>
      <c r="B803" s="114">
        <v>97513</v>
      </c>
      <c r="C803" s="114"/>
      <c r="D803" s="114">
        <f>+B803+C803</f>
        <v>97513</v>
      </c>
      <c r="E803" s="114">
        <v>73932</v>
      </c>
      <c r="F803" s="114">
        <v>23581</v>
      </c>
      <c r="G803" s="114"/>
      <c r="H803" s="114">
        <f>SUM(E803:G803)</f>
        <v>97513</v>
      </c>
      <c r="I803" s="43">
        <v>73488</v>
      </c>
      <c r="J803" s="43">
        <v>18221</v>
      </c>
      <c r="K803" s="43"/>
      <c r="L803" s="78">
        <f>SUM(I803:K803)</f>
        <v>91709</v>
      </c>
      <c r="M803" s="114">
        <f t="shared" ref="M803:O805" si="485">+E803-I803</f>
        <v>444</v>
      </c>
      <c r="N803" s="115">
        <f t="shared" si="485"/>
        <v>5360</v>
      </c>
      <c r="O803" s="114">
        <f t="shared" si="485"/>
        <v>0</v>
      </c>
      <c r="P803" s="116">
        <f>SUM(M803:O803)</f>
        <v>5804</v>
      </c>
      <c r="Q803" s="106"/>
    </row>
    <row r="804" spans="1:17" ht="12.75" customHeight="1">
      <c r="A804" s="113" t="s">
        <v>17</v>
      </c>
      <c r="B804" s="114"/>
      <c r="C804" s="114">
        <f>+H804</f>
        <v>4452</v>
      </c>
      <c r="D804" s="114">
        <f>+B804+C804</f>
        <v>4452</v>
      </c>
      <c r="E804" s="114">
        <v>4218</v>
      </c>
      <c r="F804" s="114"/>
      <c r="G804" s="114">
        <v>234</v>
      </c>
      <c r="H804" s="114">
        <f>SUM(E804:G804)</f>
        <v>4452</v>
      </c>
      <c r="I804" s="43">
        <v>4216</v>
      </c>
      <c r="J804" s="43"/>
      <c r="K804" s="43">
        <v>186</v>
      </c>
      <c r="L804" s="78">
        <f>SUM(I804:K804)</f>
        <v>4402</v>
      </c>
      <c r="M804" s="114">
        <f t="shared" si="485"/>
        <v>2</v>
      </c>
      <c r="N804" s="115">
        <f t="shared" si="485"/>
        <v>0</v>
      </c>
      <c r="O804" s="114">
        <f t="shared" si="485"/>
        <v>48</v>
      </c>
      <c r="P804" s="116">
        <f>SUM(M804:O804)</f>
        <v>50</v>
      </c>
      <c r="Q804" s="106"/>
    </row>
    <row r="805" spans="1:17" ht="12.75" customHeight="1">
      <c r="A805" s="113" t="s">
        <v>18</v>
      </c>
      <c r="B805" s="114">
        <v>6589</v>
      </c>
      <c r="C805" s="114"/>
      <c r="D805" s="114">
        <f>+B805+C805</f>
        <v>6589</v>
      </c>
      <c r="E805" s="114">
        <v>6608</v>
      </c>
      <c r="F805" s="114"/>
      <c r="G805" s="114"/>
      <c r="H805" s="114">
        <f>SUM(E805:G805)</f>
        <v>6608</v>
      </c>
      <c r="I805" s="43">
        <v>6608</v>
      </c>
      <c r="J805" s="43"/>
      <c r="K805" s="43"/>
      <c r="L805" s="78">
        <f>SUM(I805:K805)</f>
        <v>6608</v>
      </c>
      <c r="M805" s="114">
        <f t="shared" si="485"/>
        <v>0</v>
      </c>
      <c r="N805" s="115">
        <f t="shared" si="485"/>
        <v>0</v>
      </c>
      <c r="O805" s="114">
        <f t="shared" si="485"/>
        <v>0</v>
      </c>
      <c r="P805" s="116">
        <f>SUM(M805:O805)</f>
        <v>0</v>
      </c>
      <c r="Q805" s="106"/>
    </row>
    <row r="806" spans="1:17" ht="12.75" customHeight="1">
      <c r="A806" s="113" t="s">
        <v>19</v>
      </c>
      <c r="B806" s="102">
        <f>SUM(B807:B808)</f>
        <v>0</v>
      </c>
      <c r="C806" s="102">
        <f>SUM(C807:C808)</f>
        <v>0</v>
      </c>
      <c r="D806" s="102">
        <f>SUM(D807:D808)</f>
        <v>0</v>
      </c>
      <c r="E806" s="102">
        <f t="shared" ref="E806:P806" si="486">SUM(E807:E808)</f>
        <v>0</v>
      </c>
      <c r="F806" s="102">
        <f t="shared" si="486"/>
        <v>3860</v>
      </c>
      <c r="G806" s="102">
        <f t="shared" si="486"/>
        <v>4700</v>
      </c>
      <c r="H806" s="102">
        <f t="shared" si="486"/>
        <v>8560</v>
      </c>
      <c r="I806" s="45">
        <f>SUM(I807:I808)</f>
        <v>0</v>
      </c>
      <c r="J806" s="45">
        <f>SUM(J807:J808)</f>
        <v>3828</v>
      </c>
      <c r="K806" s="45">
        <f>SUM(K807:K808)</f>
        <v>4262</v>
      </c>
      <c r="L806" s="103">
        <f>SUM(L807:L808)</f>
        <v>8090</v>
      </c>
      <c r="M806" s="102">
        <f t="shared" si="486"/>
        <v>0</v>
      </c>
      <c r="N806" s="104">
        <f t="shared" si="486"/>
        <v>32</v>
      </c>
      <c r="O806" s="102">
        <f t="shared" si="486"/>
        <v>438</v>
      </c>
      <c r="P806" s="105">
        <f t="shared" si="486"/>
        <v>470</v>
      </c>
      <c r="Q806" s="106"/>
    </row>
    <row r="807" spans="1:17" ht="12.75" customHeight="1">
      <c r="A807" s="113" t="s">
        <v>20</v>
      </c>
      <c r="B807" s="114"/>
      <c r="C807" s="114"/>
      <c r="D807" s="114">
        <f>+B807+C807</f>
        <v>0</v>
      </c>
      <c r="E807" s="114"/>
      <c r="F807" s="114">
        <f>486+3374</f>
        <v>3860</v>
      </c>
      <c r="G807" s="114">
        <v>4700</v>
      </c>
      <c r="H807" s="114">
        <f>SUM(E807:G807)</f>
        <v>8560</v>
      </c>
      <c r="I807" s="43"/>
      <c r="J807" s="43">
        <v>3828</v>
      </c>
      <c r="K807" s="43">
        <v>4262</v>
      </c>
      <c r="L807" s="78">
        <f>SUM(I807:K807)</f>
        <v>8090</v>
      </c>
      <c r="M807" s="114">
        <f t="shared" ref="M807:O808" si="487">+E807-I807</f>
        <v>0</v>
      </c>
      <c r="N807" s="115">
        <f t="shared" si="487"/>
        <v>32</v>
      </c>
      <c r="O807" s="114">
        <f t="shared" si="487"/>
        <v>438</v>
      </c>
      <c r="P807" s="116">
        <f>SUM(M807:O807)</f>
        <v>470</v>
      </c>
      <c r="Q807" s="106"/>
    </row>
    <row r="808" spans="1:17" ht="12.75" customHeight="1">
      <c r="A808" s="113" t="s">
        <v>21</v>
      </c>
      <c r="B808" s="114"/>
      <c r="C808" s="114">
        <f>+H808</f>
        <v>0</v>
      </c>
      <c r="D808" s="114">
        <f>+B808+C808</f>
        <v>0</v>
      </c>
      <c r="E808" s="114"/>
      <c r="F808" s="114"/>
      <c r="G808" s="114"/>
      <c r="H808" s="114">
        <f>SUM(E808:G808)</f>
        <v>0</v>
      </c>
      <c r="I808" s="43"/>
      <c r="J808" s="43"/>
      <c r="K808" s="43"/>
      <c r="L808" s="78">
        <f>SUM(I808:K808)</f>
        <v>0</v>
      </c>
      <c r="M808" s="114">
        <f t="shared" si="487"/>
        <v>0</v>
      </c>
      <c r="N808" s="115">
        <f t="shared" si="487"/>
        <v>0</v>
      </c>
      <c r="O808" s="114">
        <f t="shared" si="487"/>
        <v>0</v>
      </c>
      <c r="P808" s="116">
        <f>SUM(M808:O808)</f>
        <v>0</v>
      </c>
      <c r="Q808" s="106"/>
    </row>
    <row r="809" spans="1:17" ht="12.75" customHeight="1">
      <c r="A809" s="121"/>
      <c r="B809" s="122"/>
      <c r="C809" s="122"/>
      <c r="D809" s="122"/>
      <c r="E809" s="114"/>
      <c r="F809" s="114"/>
      <c r="G809" s="114"/>
      <c r="H809" s="148"/>
      <c r="I809" s="43"/>
      <c r="J809" s="43"/>
      <c r="K809" s="43"/>
      <c r="L809" s="78"/>
      <c r="M809" s="114"/>
      <c r="N809" s="115"/>
      <c r="O809" s="114"/>
      <c r="P809" s="116"/>
      <c r="Q809" s="106"/>
    </row>
    <row r="810" spans="1:17" ht="12.75" customHeight="1">
      <c r="A810" s="120" t="s">
        <v>310</v>
      </c>
      <c r="B810" s="102">
        <f>+B811+B815</f>
        <v>99051</v>
      </c>
      <c r="C810" s="102">
        <f>+C811+C815</f>
        <v>31766</v>
      </c>
      <c r="D810" s="102">
        <f>+D811+D815</f>
        <v>130817</v>
      </c>
      <c r="E810" s="102">
        <f t="shared" ref="E810:P810" si="488">+E811+E815</f>
        <v>92280</v>
      </c>
      <c r="F810" s="102">
        <f t="shared" si="488"/>
        <v>13753</v>
      </c>
      <c r="G810" s="102">
        <f t="shared" si="488"/>
        <v>25042</v>
      </c>
      <c r="H810" s="102">
        <f t="shared" si="488"/>
        <v>131075</v>
      </c>
      <c r="I810" s="45">
        <f t="shared" si="488"/>
        <v>91004</v>
      </c>
      <c r="J810" s="45">
        <f t="shared" si="488"/>
        <v>13745</v>
      </c>
      <c r="K810" s="45">
        <f t="shared" si="488"/>
        <v>4163</v>
      </c>
      <c r="L810" s="103">
        <f t="shared" si="488"/>
        <v>108912</v>
      </c>
      <c r="M810" s="102">
        <f t="shared" si="488"/>
        <v>1276</v>
      </c>
      <c r="N810" s="104">
        <f t="shared" si="488"/>
        <v>8</v>
      </c>
      <c r="O810" s="102">
        <f t="shared" si="488"/>
        <v>20879</v>
      </c>
      <c r="P810" s="105">
        <f t="shared" si="488"/>
        <v>22163</v>
      </c>
      <c r="Q810" s="106">
        <f>+L810/H810</f>
        <v>0.83091359908449358</v>
      </c>
    </row>
    <row r="811" spans="1:17" ht="12.75" customHeight="1">
      <c r="A811" s="127" t="s">
        <v>15</v>
      </c>
      <c r="B811" s="108">
        <f>SUM(B812:B814)</f>
        <v>99051</v>
      </c>
      <c r="C811" s="108">
        <f>SUM(C812:C814)</f>
        <v>27916</v>
      </c>
      <c r="D811" s="108">
        <f>SUM(D812:D814)</f>
        <v>126967</v>
      </c>
      <c r="E811" s="108">
        <f t="shared" ref="E811:P811" si="489">SUM(E812:E814)</f>
        <v>92280</v>
      </c>
      <c r="F811" s="108">
        <f t="shared" si="489"/>
        <v>11813</v>
      </c>
      <c r="G811" s="108">
        <f t="shared" si="489"/>
        <v>23132</v>
      </c>
      <c r="H811" s="108">
        <f t="shared" si="489"/>
        <v>127225</v>
      </c>
      <c r="I811" s="109">
        <f>SUM(I812:I814)</f>
        <v>91004</v>
      </c>
      <c r="J811" s="109">
        <f>SUM(J812:J814)</f>
        <v>11812</v>
      </c>
      <c r="K811" s="109">
        <f>SUM(K812:K814)</f>
        <v>2992</v>
      </c>
      <c r="L811" s="110">
        <f>SUM(L812:L814)</f>
        <v>105808</v>
      </c>
      <c r="M811" s="108">
        <f t="shared" si="489"/>
        <v>1276</v>
      </c>
      <c r="N811" s="111">
        <f t="shared" si="489"/>
        <v>1</v>
      </c>
      <c r="O811" s="108">
        <f t="shared" si="489"/>
        <v>20140</v>
      </c>
      <c r="P811" s="112">
        <f t="shared" si="489"/>
        <v>21417</v>
      </c>
      <c r="Q811" s="106"/>
    </row>
    <row r="812" spans="1:17" ht="12.75" customHeight="1">
      <c r="A812" s="113" t="s">
        <v>16</v>
      </c>
      <c r="B812" s="114">
        <v>92154</v>
      </c>
      <c r="C812" s="114"/>
      <c r="D812" s="114">
        <f>+B812+C812</f>
        <v>92154</v>
      </c>
      <c r="E812" s="114">
        <v>79041</v>
      </c>
      <c r="F812" s="114">
        <v>11813</v>
      </c>
      <c r="G812" s="114">
        <v>1300</v>
      </c>
      <c r="H812" s="114">
        <f>SUM(E812:G812)</f>
        <v>92154</v>
      </c>
      <c r="I812" s="43">
        <v>77792</v>
      </c>
      <c r="J812" s="43">
        <v>11812</v>
      </c>
      <c r="K812" s="43">
        <v>225</v>
      </c>
      <c r="L812" s="78">
        <f>SUM(I812:K812)</f>
        <v>89829</v>
      </c>
      <c r="M812" s="114">
        <f t="shared" ref="M812:O814" si="490">+E812-I812</f>
        <v>1249</v>
      </c>
      <c r="N812" s="115">
        <f t="shared" si="490"/>
        <v>1</v>
      </c>
      <c r="O812" s="114">
        <f t="shared" si="490"/>
        <v>1075</v>
      </c>
      <c r="P812" s="116">
        <f>SUM(M812:O812)</f>
        <v>2325</v>
      </c>
      <c r="Q812" s="106"/>
    </row>
    <row r="813" spans="1:17" ht="12.75" customHeight="1">
      <c r="A813" s="113" t="s">
        <v>17</v>
      </c>
      <c r="B813" s="114"/>
      <c r="C813" s="114">
        <f>+H813</f>
        <v>27916</v>
      </c>
      <c r="D813" s="114">
        <f>+B813+C813</f>
        <v>27916</v>
      </c>
      <c r="E813" s="114">
        <v>6084</v>
      </c>
      <c r="F813" s="114"/>
      <c r="G813" s="114">
        <v>21832</v>
      </c>
      <c r="H813" s="114">
        <f>SUM(E813:G813)</f>
        <v>27916</v>
      </c>
      <c r="I813" s="43">
        <v>6057</v>
      </c>
      <c r="J813" s="43"/>
      <c r="K813" s="43">
        <v>2767</v>
      </c>
      <c r="L813" s="78">
        <f>SUM(I813:K813)</f>
        <v>8824</v>
      </c>
      <c r="M813" s="114">
        <f t="shared" si="490"/>
        <v>27</v>
      </c>
      <c r="N813" s="115">
        <f t="shared" si="490"/>
        <v>0</v>
      </c>
      <c r="O813" s="114">
        <f t="shared" si="490"/>
        <v>19065</v>
      </c>
      <c r="P813" s="116">
        <f>SUM(M813:O813)</f>
        <v>19092</v>
      </c>
      <c r="Q813" s="106"/>
    </row>
    <row r="814" spans="1:17" ht="12.75" customHeight="1">
      <c r="A814" s="113" t="s">
        <v>18</v>
      </c>
      <c r="B814" s="114">
        <v>6897</v>
      </c>
      <c r="C814" s="114"/>
      <c r="D814" s="114">
        <f>+B814+C814</f>
        <v>6897</v>
      </c>
      <c r="E814" s="114">
        <v>7155</v>
      </c>
      <c r="F814" s="114"/>
      <c r="G814" s="114"/>
      <c r="H814" s="114">
        <f>SUM(E814:G814)</f>
        <v>7155</v>
      </c>
      <c r="I814" s="43">
        <v>7155</v>
      </c>
      <c r="J814" s="43"/>
      <c r="K814" s="43"/>
      <c r="L814" s="78">
        <f>SUM(I814:K814)</f>
        <v>7155</v>
      </c>
      <c r="M814" s="114">
        <f t="shared" si="490"/>
        <v>0</v>
      </c>
      <c r="N814" s="115">
        <f t="shared" si="490"/>
        <v>0</v>
      </c>
      <c r="O814" s="114">
        <f t="shared" si="490"/>
        <v>0</v>
      </c>
      <c r="P814" s="116">
        <f>SUM(M814:O814)</f>
        <v>0</v>
      </c>
      <c r="Q814" s="106"/>
    </row>
    <row r="815" spans="1:17" ht="12.75" customHeight="1">
      <c r="A815" s="113" t="s">
        <v>19</v>
      </c>
      <c r="B815" s="102">
        <f>SUM(B816:B817)</f>
        <v>0</v>
      </c>
      <c r="C815" s="102">
        <f>SUM(C816:C817)</f>
        <v>3850</v>
      </c>
      <c r="D815" s="102">
        <f>SUM(D816:D817)</f>
        <v>3850</v>
      </c>
      <c r="E815" s="102">
        <f t="shared" ref="E815:P815" si="491">SUM(E816:E817)</f>
        <v>0</v>
      </c>
      <c r="F815" s="102">
        <f t="shared" si="491"/>
        <v>1940</v>
      </c>
      <c r="G815" s="102">
        <f t="shared" si="491"/>
        <v>1910</v>
      </c>
      <c r="H815" s="102">
        <f t="shared" si="491"/>
        <v>3850</v>
      </c>
      <c r="I815" s="45">
        <f>SUM(I816:I817)</f>
        <v>0</v>
      </c>
      <c r="J815" s="45">
        <f>SUM(J816:J817)</f>
        <v>1933</v>
      </c>
      <c r="K815" s="45">
        <f>SUM(K816:K817)</f>
        <v>1171</v>
      </c>
      <c r="L815" s="103">
        <f>SUM(L816:L817)</f>
        <v>3104</v>
      </c>
      <c r="M815" s="102">
        <f t="shared" si="491"/>
        <v>0</v>
      </c>
      <c r="N815" s="104">
        <f t="shared" si="491"/>
        <v>7</v>
      </c>
      <c r="O815" s="102">
        <f t="shared" si="491"/>
        <v>739</v>
      </c>
      <c r="P815" s="105">
        <f t="shared" si="491"/>
        <v>746</v>
      </c>
      <c r="Q815" s="106"/>
    </row>
    <row r="816" spans="1:17" ht="12.75" customHeight="1">
      <c r="A816" s="113" t="s">
        <v>20</v>
      </c>
      <c r="B816" s="114"/>
      <c r="C816" s="114">
        <f>+H816</f>
        <v>3850</v>
      </c>
      <c r="D816" s="114">
        <f>+B816+C816</f>
        <v>3850</v>
      </c>
      <c r="E816" s="114"/>
      <c r="F816" s="114">
        <f>48+1892</f>
        <v>1940</v>
      </c>
      <c r="G816" s="114">
        <v>1910</v>
      </c>
      <c r="H816" s="114">
        <f>SUM(E816:G816)</f>
        <v>3850</v>
      </c>
      <c r="I816" s="43"/>
      <c r="J816" s="43">
        <v>1933</v>
      </c>
      <c r="K816" s="43">
        <v>1171</v>
      </c>
      <c r="L816" s="78">
        <f>SUM(I816:K816)</f>
        <v>3104</v>
      </c>
      <c r="M816" s="114">
        <f t="shared" ref="M816:O817" si="492">+E816-I816</f>
        <v>0</v>
      </c>
      <c r="N816" s="115">
        <f t="shared" si="492"/>
        <v>7</v>
      </c>
      <c r="O816" s="114">
        <f t="shared" si="492"/>
        <v>739</v>
      </c>
      <c r="P816" s="116">
        <f>SUM(M816:O816)</f>
        <v>746</v>
      </c>
      <c r="Q816" s="106"/>
    </row>
    <row r="817" spans="1:17" ht="12.75" customHeight="1">
      <c r="A817" s="113" t="s">
        <v>21</v>
      </c>
      <c r="B817" s="114"/>
      <c r="C817" s="114">
        <f>+H817</f>
        <v>0</v>
      </c>
      <c r="D817" s="114">
        <f>+B817+C817</f>
        <v>0</v>
      </c>
      <c r="E817" s="114"/>
      <c r="F817" s="114"/>
      <c r="G817" s="114"/>
      <c r="H817" s="114">
        <f>SUM(E817:G817)</f>
        <v>0</v>
      </c>
      <c r="I817" s="43"/>
      <c r="J817" s="43"/>
      <c r="K817" s="43"/>
      <c r="L817" s="78">
        <f>SUM(I817:K817)</f>
        <v>0</v>
      </c>
      <c r="M817" s="114">
        <f t="shared" si="492"/>
        <v>0</v>
      </c>
      <c r="N817" s="115">
        <f t="shared" si="492"/>
        <v>0</v>
      </c>
      <c r="O817" s="114">
        <f t="shared" si="492"/>
        <v>0</v>
      </c>
      <c r="P817" s="116">
        <f>SUM(M817:O817)</f>
        <v>0</v>
      </c>
      <c r="Q817" s="106"/>
    </row>
    <row r="818" spans="1:17" ht="12.75" customHeight="1">
      <c r="A818" s="121"/>
      <c r="B818" s="122"/>
      <c r="C818" s="122"/>
      <c r="D818" s="122"/>
      <c r="E818" s="114"/>
      <c r="F818" s="114"/>
      <c r="G818" s="114"/>
      <c r="H818" s="148"/>
      <c r="I818" s="43"/>
      <c r="J818" s="43"/>
      <c r="K818" s="43"/>
      <c r="L818" s="78"/>
      <c r="M818" s="114"/>
      <c r="N818" s="115"/>
      <c r="O818" s="114"/>
      <c r="P818" s="116"/>
      <c r="Q818" s="106"/>
    </row>
    <row r="819" spans="1:17">
      <c r="A819" s="120" t="s">
        <v>311</v>
      </c>
      <c r="B819" s="102">
        <f>+B820+B824</f>
        <v>149135</v>
      </c>
      <c r="C819" s="102">
        <f>+C820+C824</f>
        <v>12178</v>
      </c>
      <c r="D819" s="102">
        <f>+D820+D824</f>
        <v>161313</v>
      </c>
      <c r="E819" s="102">
        <f t="shared" ref="E819:P819" si="493">+E820+E824</f>
        <v>134419</v>
      </c>
      <c r="F819" s="102">
        <f t="shared" si="493"/>
        <v>26311</v>
      </c>
      <c r="G819" s="102">
        <f t="shared" si="493"/>
        <v>15815</v>
      </c>
      <c r="H819" s="102">
        <f t="shared" si="493"/>
        <v>176545</v>
      </c>
      <c r="I819" s="45">
        <f t="shared" si="493"/>
        <v>132569</v>
      </c>
      <c r="J819" s="45">
        <f t="shared" si="493"/>
        <v>25790</v>
      </c>
      <c r="K819" s="45">
        <f t="shared" si="493"/>
        <v>3177</v>
      </c>
      <c r="L819" s="103">
        <f t="shared" si="493"/>
        <v>161536</v>
      </c>
      <c r="M819" s="102">
        <f t="shared" si="493"/>
        <v>1850</v>
      </c>
      <c r="N819" s="104">
        <f t="shared" si="493"/>
        <v>521</v>
      </c>
      <c r="O819" s="102">
        <f t="shared" si="493"/>
        <v>12638</v>
      </c>
      <c r="P819" s="105">
        <f t="shared" si="493"/>
        <v>15009</v>
      </c>
      <c r="Q819" s="106">
        <f>+L819/H819</f>
        <v>0.91498484805573654</v>
      </c>
    </row>
    <row r="820" spans="1:17" ht="12.75" customHeight="1">
      <c r="A820" s="127" t="s">
        <v>15</v>
      </c>
      <c r="B820" s="108">
        <f>SUM(B821:B823)</f>
        <v>149135</v>
      </c>
      <c r="C820" s="108">
        <f>SUM(C821:C823)</f>
        <v>12178</v>
      </c>
      <c r="D820" s="108">
        <f>SUM(D821:D823)</f>
        <v>161313</v>
      </c>
      <c r="E820" s="108">
        <f t="shared" ref="E820:P820" si="494">SUM(E821:E823)</f>
        <v>134419</v>
      </c>
      <c r="F820" s="108">
        <f t="shared" si="494"/>
        <v>26061</v>
      </c>
      <c r="G820" s="108">
        <f t="shared" si="494"/>
        <v>14659</v>
      </c>
      <c r="H820" s="108">
        <f t="shared" si="494"/>
        <v>175139</v>
      </c>
      <c r="I820" s="109">
        <f>SUM(I821:I823)</f>
        <v>132569</v>
      </c>
      <c r="J820" s="109">
        <f>SUM(J821:J823)</f>
        <v>25540</v>
      </c>
      <c r="K820" s="109">
        <f>SUM(K821:K823)</f>
        <v>2021</v>
      </c>
      <c r="L820" s="110">
        <f>SUM(L821:L823)</f>
        <v>160130</v>
      </c>
      <c r="M820" s="108">
        <f t="shared" si="494"/>
        <v>1850</v>
      </c>
      <c r="N820" s="111">
        <f t="shared" si="494"/>
        <v>521</v>
      </c>
      <c r="O820" s="108">
        <f t="shared" si="494"/>
        <v>12638</v>
      </c>
      <c r="P820" s="112">
        <f t="shared" si="494"/>
        <v>15009</v>
      </c>
      <c r="Q820" s="106"/>
    </row>
    <row r="821" spans="1:17" ht="12.75" customHeight="1">
      <c r="A821" s="113" t="s">
        <v>16</v>
      </c>
      <c r="B821" s="114">
        <v>139467</v>
      </c>
      <c r="C821" s="114"/>
      <c r="D821" s="114">
        <f>+B821+C821</f>
        <v>139467</v>
      </c>
      <c r="E821" s="114">
        <v>113406</v>
      </c>
      <c r="F821" s="114">
        <v>26061</v>
      </c>
      <c r="G821" s="114">
        <v>13424</v>
      </c>
      <c r="H821" s="114">
        <f>SUM(E821:G821)</f>
        <v>152891</v>
      </c>
      <c r="I821" s="43">
        <f>111555+403</f>
        <v>111958</v>
      </c>
      <c r="J821" s="43">
        <v>25540</v>
      </c>
      <c r="K821" s="43">
        <v>2021</v>
      </c>
      <c r="L821" s="78">
        <f>SUM(I821:K821)</f>
        <v>139519</v>
      </c>
      <c r="M821" s="114">
        <f t="shared" ref="M821:O823" si="495">+E821-I821</f>
        <v>1448</v>
      </c>
      <c r="N821" s="115">
        <f t="shared" si="495"/>
        <v>521</v>
      </c>
      <c r="O821" s="114">
        <f t="shared" si="495"/>
        <v>11403</v>
      </c>
      <c r="P821" s="116">
        <f>SUM(M821:O821)</f>
        <v>13372</v>
      </c>
      <c r="Q821" s="106"/>
    </row>
    <row r="822" spans="1:17" ht="12.75" customHeight="1">
      <c r="A822" s="113" t="s">
        <v>17</v>
      </c>
      <c r="B822" s="114"/>
      <c r="C822" s="114">
        <f>+H822</f>
        <v>12178</v>
      </c>
      <c r="D822" s="114">
        <f>+B822+C822</f>
        <v>12178</v>
      </c>
      <c r="E822" s="114">
        <v>10943</v>
      </c>
      <c r="F822" s="114"/>
      <c r="G822" s="114">
        <v>1235</v>
      </c>
      <c r="H822" s="114">
        <f>SUM(E822:G822)</f>
        <v>12178</v>
      </c>
      <c r="I822" s="43">
        <f>11346-403</f>
        <v>10943</v>
      </c>
      <c r="J822" s="43"/>
      <c r="K822" s="43"/>
      <c r="L822" s="78">
        <f>SUM(I822:K822)</f>
        <v>10943</v>
      </c>
      <c r="M822" s="114">
        <f t="shared" si="495"/>
        <v>0</v>
      </c>
      <c r="N822" s="115">
        <f t="shared" si="495"/>
        <v>0</v>
      </c>
      <c r="O822" s="114">
        <f t="shared" si="495"/>
        <v>1235</v>
      </c>
      <c r="P822" s="116">
        <f>SUM(M822:O822)</f>
        <v>1235</v>
      </c>
      <c r="Q822" s="106"/>
    </row>
    <row r="823" spans="1:17" ht="12.75" customHeight="1">
      <c r="A823" s="113" t="s">
        <v>18</v>
      </c>
      <c r="B823" s="114">
        <v>9668</v>
      </c>
      <c r="C823" s="114"/>
      <c r="D823" s="114">
        <f>+B823+C823</f>
        <v>9668</v>
      </c>
      <c r="E823" s="114">
        <v>10070</v>
      </c>
      <c r="F823" s="114"/>
      <c r="G823" s="114"/>
      <c r="H823" s="114">
        <f>SUM(E823:G823)</f>
        <v>10070</v>
      </c>
      <c r="I823" s="43">
        <v>9668</v>
      </c>
      <c r="J823" s="43"/>
      <c r="K823" s="43"/>
      <c r="L823" s="78">
        <f>SUM(I823:K823)</f>
        <v>9668</v>
      </c>
      <c r="M823" s="114">
        <f t="shared" si="495"/>
        <v>402</v>
      </c>
      <c r="N823" s="115">
        <f t="shared" si="495"/>
        <v>0</v>
      </c>
      <c r="O823" s="114">
        <f t="shared" si="495"/>
        <v>0</v>
      </c>
      <c r="P823" s="116">
        <f>SUM(M823:O823)</f>
        <v>402</v>
      </c>
      <c r="Q823" s="106"/>
    </row>
    <row r="824" spans="1:17" ht="12.75" customHeight="1">
      <c r="A824" s="113" t="s">
        <v>19</v>
      </c>
      <c r="B824" s="102">
        <f>SUM(B825:B826)</f>
        <v>0</v>
      </c>
      <c r="C824" s="102">
        <f>SUM(C825:C826)</f>
        <v>0</v>
      </c>
      <c r="D824" s="102">
        <f>SUM(D825:D826)</f>
        <v>0</v>
      </c>
      <c r="E824" s="102">
        <f t="shared" ref="E824:P824" si="496">SUM(E825:E826)</f>
        <v>0</v>
      </c>
      <c r="F824" s="102">
        <f t="shared" si="496"/>
        <v>250</v>
      </c>
      <c r="G824" s="102">
        <f t="shared" si="496"/>
        <v>1156</v>
      </c>
      <c r="H824" s="102">
        <f t="shared" si="496"/>
        <v>1406</v>
      </c>
      <c r="I824" s="45">
        <f>SUM(I825:I826)</f>
        <v>0</v>
      </c>
      <c r="J824" s="45">
        <f>SUM(J825:J826)</f>
        <v>250</v>
      </c>
      <c r="K824" s="45">
        <f>SUM(K825:K826)</f>
        <v>1156</v>
      </c>
      <c r="L824" s="103">
        <f>SUM(L825:L826)</f>
        <v>1406</v>
      </c>
      <c r="M824" s="102">
        <f t="shared" si="496"/>
        <v>0</v>
      </c>
      <c r="N824" s="104">
        <f t="shared" si="496"/>
        <v>0</v>
      </c>
      <c r="O824" s="102">
        <f t="shared" si="496"/>
        <v>0</v>
      </c>
      <c r="P824" s="105">
        <f t="shared" si="496"/>
        <v>0</v>
      </c>
      <c r="Q824" s="106"/>
    </row>
    <row r="825" spans="1:17" ht="12.75" customHeight="1">
      <c r="A825" s="113" t="s">
        <v>20</v>
      </c>
      <c r="B825" s="114"/>
      <c r="C825" s="114"/>
      <c r="D825" s="114">
        <f>+B825+C825</f>
        <v>0</v>
      </c>
      <c r="E825" s="114"/>
      <c r="F825" s="114">
        <v>250</v>
      </c>
      <c r="G825" s="114">
        <v>1156</v>
      </c>
      <c r="H825" s="114">
        <f>SUM(E825:G825)</f>
        <v>1406</v>
      </c>
      <c r="I825" s="43"/>
      <c r="J825" s="43">
        <v>250</v>
      </c>
      <c r="K825" s="43">
        <v>1156</v>
      </c>
      <c r="L825" s="78">
        <f>SUM(I825:K825)</f>
        <v>1406</v>
      </c>
      <c r="M825" s="114">
        <f t="shared" ref="M825:O826" si="497">+E825-I825</f>
        <v>0</v>
      </c>
      <c r="N825" s="115">
        <f t="shared" si="497"/>
        <v>0</v>
      </c>
      <c r="O825" s="114">
        <f t="shared" si="497"/>
        <v>0</v>
      </c>
      <c r="P825" s="116">
        <f>SUM(M825:O825)</f>
        <v>0</v>
      </c>
      <c r="Q825" s="106"/>
    </row>
    <row r="826" spans="1:17" ht="12.75" customHeight="1">
      <c r="A826" s="113" t="s">
        <v>21</v>
      </c>
      <c r="B826" s="114"/>
      <c r="C826" s="114"/>
      <c r="D826" s="114">
        <f>+B826+C826</f>
        <v>0</v>
      </c>
      <c r="E826" s="114"/>
      <c r="F826" s="114"/>
      <c r="G826" s="114"/>
      <c r="H826" s="114">
        <f>SUM(E826:G826)</f>
        <v>0</v>
      </c>
      <c r="I826" s="43"/>
      <c r="J826" s="43"/>
      <c r="K826" s="43"/>
      <c r="L826" s="78">
        <f>SUM(I826:K826)</f>
        <v>0</v>
      </c>
      <c r="M826" s="114">
        <f t="shared" si="497"/>
        <v>0</v>
      </c>
      <c r="N826" s="115">
        <f t="shared" si="497"/>
        <v>0</v>
      </c>
      <c r="O826" s="114">
        <f t="shared" si="497"/>
        <v>0</v>
      </c>
      <c r="P826" s="116">
        <f>SUM(M826:O826)</f>
        <v>0</v>
      </c>
      <c r="Q826" s="106"/>
    </row>
    <row r="827" spans="1:17" ht="12.75" customHeight="1">
      <c r="A827" s="121"/>
      <c r="B827" s="122"/>
      <c r="C827" s="122"/>
      <c r="D827" s="122"/>
      <c r="E827" s="114"/>
      <c r="F827" s="114"/>
      <c r="G827" s="114"/>
      <c r="H827" s="148"/>
      <c r="I827" s="43"/>
      <c r="J827" s="43"/>
      <c r="K827" s="43"/>
      <c r="L827" s="78"/>
      <c r="M827" s="114"/>
      <c r="N827" s="115"/>
      <c r="O827" s="114"/>
      <c r="P827" s="116"/>
      <c r="Q827" s="106"/>
    </row>
    <row r="828" spans="1:17" ht="25.5">
      <c r="A828" s="151" t="s">
        <v>312</v>
      </c>
      <c r="B828" s="102">
        <f>+B829+B833</f>
        <v>182324</v>
      </c>
      <c r="C828" s="102">
        <f>+C829+C833</f>
        <v>19983</v>
      </c>
      <c r="D828" s="102">
        <f>+D829+D833</f>
        <v>202307</v>
      </c>
      <c r="E828" s="102">
        <f t="shared" ref="E828:P828" si="498">+E829+E833</f>
        <v>155032</v>
      </c>
      <c r="F828" s="102">
        <f t="shared" si="498"/>
        <v>40863</v>
      </c>
      <c r="G828" s="102">
        <f t="shared" si="498"/>
        <v>22351</v>
      </c>
      <c r="H828" s="102">
        <f t="shared" si="498"/>
        <v>218246</v>
      </c>
      <c r="I828" s="45">
        <f t="shared" si="498"/>
        <v>152527</v>
      </c>
      <c r="J828" s="45">
        <f t="shared" si="498"/>
        <v>38928</v>
      </c>
      <c r="K828" s="45">
        <f t="shared" si="498"/>
        <v>5027</v>
      </c>
      <c r="L828" s="103">
        <f t="shared" si="498"/>
        <v>196482</v>
      </c>
      <c r="M828" s="102">
        <f t="shared" si="498"/>
        <v>2505</v>
      </c>
      <c r="N828" s="104">
        <f t="shared" si="498"/>
        <v>1935</v>
      </c>
      <c r="O828" s="102">
        <f t="shared" si="498"/>
        <v>17324</v>
      </c>
      <c r="P828" s="105">
        <f t="shared" si="498"/>
        <v>21764</v>
      </c>
      <c r="Q828" s="106">
        <f>+L828/H828</f>
        <v>0.90027766831923606</v>
      </c>
    </row>
    <row r="829" spans="1:17" ht="12.75" customHeight="1">
      <c r="A829" s="127" t="s">
        <v>15</v>
      </c>
      <c r="B829" s="108">
        <f>SUM(B830:B832)</f>
        <v>182324</v>
      </c>
      <c r="C829" s="108">
        <f>SUM(C830:C832)</f>
        <v>19980</v>
      </c>
      <c r="D829" s="108">
        <f>SUM(D830:D832)</f>
        <v>202304</v>
      </c>
      <c r="E829" s="108">
        <f t="shared" ref="E829:P829" si="499">SUM(E830:E832)</f>
        <v>155032</v>
      </c>
      <c r="F829" s="108">
        <f t="shared" si="499"/>
        <v>40860</v>
      </c>
      <c r="G829" s="108">
        <f t="shared" si="499"/>
        <v>22351</v>
      </c>
      <c r="H829" s="108">
        <f t="shared" si="499"/>
        <v>218243</v>
      </c>
      <c r="I829" s="109">
        <f>SUM(I830:I832)</f>
        <v>152527</v>
      </c>
      <c r="J829" s="109">
        <f>SUM(J830:J832)</f>
        <v>38925</v>
      </c>
      <c r="K829" s="109">
        <f>SUM(K830:K832)</f>
        <v>5027</v>
      </c>
      <c r="L829" s="110">
        <f>SUM(L830:L832)</f>
        <v>196479</v>
      </c>
      <c r="M829" s="108">
        <f t="shared" si="499"/>
        <v>2505</v>
      </c>
      <c r="N829" s="111">
        <f t="shared" si="499"/>
        <v>1935</v>
      </c>
      <c r="O829" s="108">
        <f t="shared" si="499"/>
        <v>17324</v>
      </c>
      <c r="P829" s="112">
        <f t="shared" si="499"/>
        <v>21764</v>
      </c>
      <c r="Q829" s="106"/>
    </row>
    <row r="830" spans="1:17" ht="12.75" customHeight="1">
      <c r="A830" s="113" t="s">
        <v>16</v>
      </c>
      <c r="B830" s="114">
        <v>170495</v>
      </c>
      <c r="C830" s="114"/>
      <c r="D830" s="114">
        <f>+B830+C830</f>
        <v>170495</v>
      </c>
      <c r="E830" s="114">
        <v>129635</v>
      </c>
      <c r="F830" s="114">
        <v>40860</v>
      </c>
      <c r="G830" s="114">
        <v>15699</v>
      </c>
      <c r="H830" s="114">
        <f>SUM(E830:G830)</f>
        <v>186194</v>
      </c>
      <c r="I830" s="43">
        <v>127827</v>
      </c>
      <c r="J830" s="43">
        <v>38925</v>
      </c>
      <c r="K830" s="43"/>
      <c r="L830" s="78">
        <f>SUM(I830:K830)</f>
        <v>166752</v>
      </c>
      <c r="M830" s="114">
        <f t="shared" ref="M830:O832" si="500">+E830-I830</f>
        <v>1808</v>
      </c>
      <c r="N830" s="115">
        <f t="shared" si="500"/>
        <v>1935</v>
      </c>
      <c r="O830" s="114">
        <f t="shared" si="500"/>
        <v>15699</v>
      </c>
      <c r="P830" s="116">
        <f>SUM(M830:O830)</f>
        <v>19442</v>
      </c>
      <c r="Q830" s="106"/>
    </row>
    <row r="831" spans="1:17" ht="12.75" customHeight="1">
      <c r="A831" s="113" t="s">
        <v>17</v>
      </c>
      <c r="B831" s="114"/>
      <c r="C831" s="114">
        <f>+H831</f>
        <v>19980</v>
      </c>
      <c r="D831" s="114">
        <f>+B831+C831</f>
        <v>19980</v>
      </c>
      <c r="E831" s="114">
        <v>13328</v>
      </c>
      <c r="F831" s="114"/>
      <c r="G831" s="114">
        <v>6652</v>
      </c>
      <c r="H831" s="114">
        <f>SUM(E831:G831)</f>
        <v>19980</v>
      </c>
      <c r="I831" s="43">
        <v>13328</v>
      </c>
      <c r="J831" s="43"/>
      <c r="K831" s="43">
        <v>5027</v>
      </c>
      <c r="L831" s="78">
        <f>SUM(I831:K831)</f>
        <v>18355</v>
      </c>
      <c r="M831" s="114">
        <f t="shared" si="500"/>
        <v>0</v>
      </c>
      <c r="N831" s="115">
        <f t="shared" si="500"/>
        <v>0</v>
      </c>
      <c r="O831" s="114">
        <f t="shared" si="500"/>
        <v>1625</v>
      </c>
      <c r="P831" s="116">
        <f>SUM(M831:O831)</f>
        <v>1625</v>
      </c>
      <c r="Q831" s="106"/>
    </row>
    <row r="832" spans="1:17" ht="12.75" customHeight="1">
      <c r="A832" s="113" t="s">
        <v>18</v>
      </c>
      <c r="B832" s="114">
        <v>11829</v>
      </c>
      <c r="C832" s="114"/>
      <c r="D832" s="114">
        <f>+B832+C832</f>
        <v>11829</v>
      </c>
      <c r="E832" s="114">
        <v>12069</v>
      </c>
      <c r="F832" s="114"/>
      <c r="G832" s="114"/>
      <c r="H832" s="114">
        <f>SUM(E832:G832)</f>
        <v>12069</v>
      </c>
      <c r="I832" s="43">
        <v>11372</v>
      </c>
      <c r="J832" s="43"/>
      <c r="K832" s="43"/>
      <c r="L832" s="78">
        <f>SUM(I832:K832)</f>
        <v>11372</v>
      </c>
      <c r="M832" s="114">
        <f t="shared" si="500"/>
        <v>697</v>
      </c>
      <c r="N832" s="115">
        <f t="shared" si="500"/>
        <v>0</v>
      </c>
      <c r="O832" s="114">
        <f t="shared" si="500"/>
        <v>0</v>
      </c>
      <c r="P832" s="116">
        <f>SUM(M832:O832)</f>
        <v>697</v>
      </c>
      <c r="Q832" s="106"/>
    </row>
    <row r="833" spans="1:17" ht="12.75" customHeight="1">
      <c r="A833" s="113" t="s">
        <v>19</v>
      </c>
      <c r="B833" s="102">
        <f>SUM(B834:B835)</f>
        <v>0</v>
      </c>
      <c r="C833" s="102">
        <f>SUM(C834:C835)</f>
        <v>3</v>
      </c>
      <c r="D833" s="102">
        <f>SUM(D834:D835)</f>
        <v>3</v>
      </c>
      <c r="E833" s="102">
        <f t="shared" ref="E833:P833" si="501">SUM(E834:E835)</f>
        <v>0</v>
      </c>
      <c r="F833" s="102">
        <f t="shared" si="501"/>
        <v>3</v>
      </c>
      <c r="G833" s="102">
        <f t="shared" si="501"/>
        <v>0</v>
      </c>
      <c r="H833" s="102">
        <f t="shared" si="501"/>
        <v>3</v>
      </c>
      <c r="I833" s="45">
        <f>SUM(I834:I835)</f>
        <v>0</v>
      </c>
      <c r="J833" s="45">
        <f>SUM(J834:J835)</f>
        <v>3</v>
      </c>
      <c r="K833" s="45">
        <f>SUM(K834:K835)</f>
        <v>0</v>
      </c>
      <c r="L833" s="103">
        <f>SUM(L834:L835)</f>
        <v>3</v>
      </c>
      <c r="M833" s="102">
        <f t="shared" si="501"/>
        <v>0</v>
      </c>
      <c r="N833" s="104">
        <f t="shared" si="501"/>
        <v>0</v>
      </c>
      <c r="O833" s="102">
        <f t="shared" si="501"/>
        <v>0</v>
      </c>
      <c r="P833" s="105">
        <f t="shared" si="501"/>
        <v>0</v>
      </c>
      <c r="Q833" s="106"/>
    </row>
    <row r="834" spans="1:17" ht="12.75" customHeight="1">
      <c r="A834" s="113" t="s">
        <v>20</v>
      </c>
      <c r="B834" s="114"/>
      <c r="C834" s="114">
        <f>+H834</f>
        <v>3</v>
      </c>
      <c r="D834" s="114">
        <f>+B834+C834</f>
        <v>3</v>
      </c>
      <c r="E834" s="114"/>
      <c r="F834" s="114">
        <v>3</v>
      </c>
      <c r="G834" s="114"/>
      <c r="H834" s="114">
        <f>SUM(E834:G834)</f>
        <v>3</v>
      </c>
      <c r="I834" s="43"/>
      <c r="J834" s="43">
        <v>3</v>
      </c>
      <c r="K834" s="43"/>
      <c r="L834" s="78">
        <f>SUM(I834:K834)</f>
        <v>3</v>
      </c>
      <c r="M834" s="114">
        <f t="shared" ref="M834:O835" si="502">+E834-I834</f>
        <v>0</v>
      </c>
      <c r="N834" s="115">
        <f t="shared" si="502"/>
        <v>0</v>
      </c>
      <c r="O834" s="114">
        <f t="shared" si="502"/>
        <v>0</v>
      </c>
      <c r="P834" s="116">
        <f>SUM(M834:O834)</f>
        <v>0</v>
      </c>
      <c r="Q834" s="106"/>
    </row>
    <row r="835" spans="1:17" ht="12.75" customHeight="1">
      <c r="A835" s="113" t="s">
        <v>21</v>
      </c>
      <c r="B835" s="114"/>
      <c r="C835" s="114">
        <f>+H835</f>
        <v>0</v>
      </c>
      <c r="D835" s="114">
        <f>+B835+C835</f>
        <v>0</v>
      </c>
      <c r="E835" s="114"/>
      <c r="F835" s="114"/>
      <c r="G835" s="114"/>
      <c r="H835" s="114">
        <f>SUM(E835:G835)</f>
        <v>0</v>
      </c>
      <c r="I835" s="43"/>
      <c r="J835" s="43"/>
      <c r="K835" s="43"/>
      <c r="L835" s="78">
        <f>SUM(I835:K835)</f>
        <v>0</v>
      </c>
      <c r="M835" s="114">
        <f t="shared" si="502"/>
        <v>0</v>
      </c>
      <c r="N835" s="115">
        <f t="shared" si="502"/>
        <v>0</v>
      </c>
      <c r="O835" s="114">
        <f t="shared" si="502"/>
        <v>0</v>
      </c>
      <c r="P835" s="116">
        <f>SUM(M835:O835)</f>
        <v>0</v>
      </c>
      <c r="Q835" s="106"/>
    </row>
    <row r="836" spans="1:17" ht="12.75" customHeight="1">
      <c r="A836" s="152"/>
      <c r="B836" s="153"/>
      <c r="C836" s="153"/>
      <c r="D836" s="153"/>
      <c r="E836" s="114"/>
      <c r="F836" s="114"/>
      <c r="G836" s="114"/>
      <c r="H836" s="148"/>
      <c r="I836" s="43"/>
      <c r="J836" s="43"/>
      <c r="K836" s="43"/>
      <c r="L836" s="78"/>
      <c r="M836" s="114"/>
      <c r="N836" s="115"/>
      <c r="O836" s="114"/>
      <c r="P836" s="116"/>
      <c r="Q836" s="106"/>
    </row>
    <row r="837" spans="1:17" ht="12.75" customHeight="1">
      <c r="A837" s="120" t="s">
        <v>313</v>
      </c>
      <c r="B837" s="102">
        <f>+B838+B842</f>
        <v>299126</v>
      </c>
      <c r="C837" s="102">
        <f>+C838+C842</f>
        <v>19913</v>
      </c>
      <c r="D837" s="102">
        <f>+D838+D842</f>
        <v>319039</v>
      </c>
      <c r="E837" s="102">
        <f t="shared" ref="E837:P837" si="503">+E838+E842</f>
        <v>253974</v>
      </c>
      <c r="F837" s="102">
        <f t="shared" si="503"/>
        <v>60052</v>
      </c>
      <c r="G837" s="102">
        <f t="shared" si="503"/>
        <v>22387</v>
      </c>
      <c r="H837" s="102">
        <f t="shared" si="503"/>
        <v>336413</v>
      </c>
      <c r="I837" s="45">
        <f t="shared" si="503"/>
        <v>253520</v>
      </c>
      <c r="J837" s="45">
        <f t="shared" si="503"/>
        <v>60052</v>
      </c>
      <c r="K837" s="45">
        <f t="shared" si="503"/>
        <v>5013</v>
      </c>
      <c r="L837" s="103">
        <f t="shared" si="503"/>
        <v>318585</v>
      </c>
      <c r="M837" s="102">
        <f t="shared" si="503"/>
        <v>454</v>
      </c>
      <c r="N837" s="104">
        <f t="shared" si="503"/>
        <v>0</v>
      </c>
      <c r="O837" s="102">
        <f t="shared" si="503"/>
        <v>17374</v>
      </c>
      <c r="P837" s="105">
        <f t="shared" si="503"/>
        <v>17828</v>
      </c>
      <c r="Q837" s="106">
        <f>+L837/H837</f>
        <v>0.94700561512188886</v>
      </c>
    </row>
    <row r="838" spans="1:17" ht="12.75" customHeight="1">
      <c r="A838" s="127" t="s">
        <v>15</v>
      </c>
      <c r="B838" s="108">
        <f>SUM(B839:B841)</f>
        <v>299126</v>
      </c>
      <c r="C838" s="108">
        <f>SUM(C839:C841)</f>
        <v>19913</v>
      </c>
      <c r="D838" s="108">
        <f>SUM(D839:D841)</f>
        <v>319039</v>
      </c>
      <c r="E838" s="108">
        <f t="shared" ref="E838:P838" si="504">SUM(E839:E841)</f>
        <v>253974</v>
      </c>
      <c r="F838" s="108">
        <f t="shared" si="504"/>
        <v>60052</v>
      </c>
      <c r="G838" s="108">
        <f t="shared" si="504"/>
        <v>22387</v>
      </c>
      <c r="H838" s="108">
        <f t="shared" si="504"/>
        <v>336413</v>
      </c>
      <c r="I838" s="109">
        <f>SUM(I839:I841)</f>
        <v>253520</v>
      </c>
      <c r="J838" s="109">
        <f>SUM(J839:J841)</f>
        <v>60052</v>
      </c>
      <c r="K838" s="109">
        <f>SUM(K839:K841)</f>
        <v>5013</v>
      </c>
      <c r="L838" s="110">
        <f>SUM(L839:L841)</f>
        <v>318585</v>
      </c>
      <c r="M838" s="108">
        <f t="shared" si="504"/>
        <v>454</v>
      </c>
      <c r="N838" s="111">
        <f t="shared" si="504"/>
        <v>0</v>
      </c>
      <c r="O838" s="108">
        <f t="shared" si="504"/>
        <v>17374</v>
      </c>
      <c r="P838" s="112">
        <f t="shared" si="504"/>
        <v>17828</v>
      </c>
      <c r="Q838" s="106"/>
    </row>
    <row r="839" spans="1:17" ht="12.75" customHeight="1">
      <c r="A839" s="113" t="s">
        <v>16</v>
      </c>
      <c r="B839" s="114">
        <v>278552</v>
      </c>
      <c r="C839" s="114"/>
      <c r="D839" s="114">
        <f>+B839+C839</f>
        <v>278552</v>
      </c>
      <c r="E839" s="114">
        <v>218200</v>
      </c>
      <c r="F839" s="114">
        <v>60052</v>
      </c>
      <c r="G839" s="114">
        <v>17674</v>
      </c>
      <c r="H839" s="114">
        <f>SUM(E839:G839)</f>
        <v>295926</v>
      </c>
      <c r="I839" s="43">
        <v>218200</v>
      </c>
      <c r="J839" s="43">
        <v>60052</v>
      </c>
      <c r="K839" s="43">
        <v>300</v>
      </c>
      <c r="L839" s="78">
        <f>SUM(I839:K839)</f>
        <v>278552</v>
      </c>
      <c r="M839" s="114">
        <f t="shared" ref="M839:O841" si="505">+E839-I839</f>
        <v>0</v>
      </c>
      <c r="N839" s="115">
        <f t="shared" si="505"/>
        <v>0</v>
      </c>
      <c r="O839" s="114">
        <f t="shared" si="505"/>
        <v>17374</v>
      </c>
      <c r="P839" s="116">
        <f>SUM(M839:O839)</f>
        <v>17374</v>
      </c>
      <c r="Q839" s="106"/>
    </row>
    <row r="840" spans="1:17" ht="12.75" customHeight="1">
      <c r="A840" s="113" t="s">
        <v>17</v>
      </c>
      <c r="B840" s="114"/>
      <c r="C840" s="114">
        <f>+H840</f>
        <v>19913</v>
      </c>
      <c r="D840" s="114">
        <f>+B840+C840</f>
        <v>19913</v>
      </c>
      <c r="E840" s="114">
        <v>15200</v>
      </c>
      <c r="F840" s="114"/>
      <c r="G840" s="114">
        <v>4713</v>
      </c>
      <c r="H840" s="114">
        <f>SUM(E840:G840)</f>
        <v>19913</v>
      </c>
      <c r="I840" s="43">
        <v>14746</v>
      </c>
      <c r="J840" s="43"/>
      <c r="K840" s="43">
        <v>4713</v>
      </c>
      <c r="L840" s="78">
        <f>SUM(I840:K840)</f>
        <v>19459</v>
      </c>
      <c r="M840" s="114">
        <f t="shared" si="505"/>
        <v>454</v>
      </c>
      <c r="N840" s="115">
        <f t="shared" si="505"/>
        <v>0</v>
      </c>
      <c r="O840" s="114">
        <f t="shared" si="505"/>
        <v>0</v>
      </c>
      <c r="P840" s="116">
        <f>SUM(M840:O840)</f>
        <v>454</v>
      </c>
      <c r="Q840" s="106"/>
    </row>
    <row r="841" spans="1:17" ht="12.75" customHeight="1">
      <c r="A841" s="113" t="s">
        <v>18</v>
      </c>
      <c r="B841" s="114">
        <v>20574</v>
      </c>
      <c r="C841" s="114"/>
      <c r="D841" s="114">
        <f>+B841+C841</f>
        <v>20574</v>
      </c>
      <c r="E841" s="114">
        <v>20574</v>
      </c>
      <c r="F841" s="114"/>
      <c r="G841" s="114"/>
      <c r="H841" s="114">
        <f>SUM(E841:G841)</f>
        <v>20574</v>
      </c>
      <c r="I841" s="43">
        <v>20574</v>
      </c>
      <c r="J841" s="43"/>
      <c r="K841" s="43"/>
      <c r="L841" s="78">
        <f>SUM(I841:K841)</f>
        <v>20574</v>
      </c>
      <c r="M841" s="114">
        <f t="shared" si="505"/>
        <v>0</v>
      </c>
      <c r="N841" s="115">
        <f t="shared" si="505"/>
        <v>0</v>
      </c>
      <c r="O841" s="114">
        <f t="shared" si="505"/>
        <v>0</v>
      </c>
      <c r="P841" s="116">
        <f>SUM(M841:O841)</f>
        <v>0</v>
      </c>
      <c r="Q841" s="106"/>
    </row>
    <row r="842" spans="1:17" ht="12.75" customHeight="1">
      <c r="A842" s="113" t="s">
        <v>19</v>
      </c>
      <c r="B842" s="102">
        <f>SUM(B843:B844)</f>
        <v>0</v>
      </c>
      <c r="C842" s="102">
        <f>SUM(C843:C844)</f>
        <v>0</v>
      </c>
      <c r="D842" s="102">
        <f>SUM(D843:D844)</f>
        <v>0</v>
      </c>
      <c r="E842" s="102">
        <f t="shared" ref="E842:P842" si="506">SUM(E843:E844)</f>
        <v>0</v>
      </c>
      <c r="F842" s="102">
        <f t="shared" si="506"/>
        <v>0</v>
      </c>
      <c r="G842" s="102">
        <f t="shared" si="506"/>
        <v>0</v>
      </c>
      <c r="H842" s="102">
        <f t="shared" si="506"/>
        <v>0</v>
      </c>
      <c r="I842" s="45">
        <f>SUM(I843:I844)</f>
        <v>0</v>
      </c>
      <c r="J842" s="45">
        <f>SUM(J843:J844)</f>
        <v>0</v>
      </c>
      <c r="K842" s="45">
        <f>SUM(K843:K844)</f>
        <v>0</v>
      </c>
      <c r="L842" s="103">
        <f>SUM(L843:L844)</f>
        <v>0</v>
      </c>
      <c r="M842" s="102">
        <f t="shared" si="506"/>
        <v>0</v>
      </c>
      <c r="N842" s="104">
        <f t="shared" si="506"/>
        <v>0</v>
      </c>
      <c r="O842" s="102">
        <f t="shared" si="506"/>
        <v>0</v>
      </c>
      <c r="P842" s="105">
        <f t="shared" si="506"/>
        <v>0</v>
      </c>
      <c r="Q842" s="106"/>
    </row>
    <row r="843" spans="1:17" ht="12.75" customHeight="1">
      <c r="A843" s="113" t="s">
        <v>20</v>
      </c>
      <c r="B843" s="114"/>
      <c r="C843" s="114">
        <f>+H843</f>
        <v>0</v>
      </c>
      <c r="D843" s="114">
        <f>+B843+C843</f>
        <v>0</v>
      </c>
      <c r="E843" s="114"/>
      <c r="F843" s="114"/>
      <c r="G843" s="114"/>
      <c r="H843" s="114">
        <f>SUM(E843:G843)</f>
        <v>0</v>
      </c>
      <c r="I843" s="43"/>
      <c r="J843" s="43"/>
      <c r="K843" s="43"/>
      <c r="L843" s="78">
        <f>SUM(I843:K843)</f>
        <v>0</v>
      </c>
      <c r="M843" s="114">
        <f t="shared" ref="M843:O844" si="507">+E843-I843</f>
        <v>0</v>
      </c>
      <c r="N843" s="115">
        <f t="shared" si="507"/>
        <v>0</v>
      </c>
      <c r="O843" s="114">
        <f t="shared" si="507"/>
        <v>0</v>
      </c>
      <c r="P843" s="116">
        <f>SUM(M843:O843)</f>
        <v>0</v>
      </c>
      <c r="Q843" s="106"/>
    </row>
    <row r="844" spans="1:17" ht="12.75" customHeight="1">
      <c r="A844" s="113" t="s">
        <v>21</v>
      </c>
      <c r="B844" s="114"/>
      <c r="C844" s="114"/>
      <c r="D844" s="114">
        <f>+B844+C844</f>
        <v>0</v>
      </c>
      <c r="E844" s="114"/>
      <c r="F844" s="114"/>
      <c r="G844" s="114"/>
      <c r="H844" s="114">
        <f>SUM(E844:G844)</f>
        <v>0</v>
      </c>
      <c r="I844" s="43"/>
      <c r="J844" s="43"/>
      <c r="K844" s="43"/>
      <c r="L844" s="78">
        <f>SUM(I844:K844)</f>
        <v>0</v>
      </c>
      <c r="M844" s="114">
        <f t="shared" si="507"/>
        <v>0</v>
      </c>
      <c r="N844" s="115">
        <f t="shared" si="507"/>
        <v>0</v>
      </c>
      <c r="O844" s="114">
        <f t="shared" si="507"/>
        <v>0</v>
      </c>
      <c r="P844" s="116">
        <f>SUM(M844:O844)</f>
        <v>0</v>
      </c>
      <c r="Q844" s="106"/>
    </row>
    <row r="845" spans="1:17" ht="12.75" customHeight="1">
      <c r="A845" s="229"/>
      <c r="B845" s="230"/>
      <c r="C845" s="230"/>
      <c r="D845" s="230"/>
      <c r="E845" s="102"/>
      <c r="F845" s="102"/>
      <c r="G845" s="102"/>
      <c r="H845" s="228"/>
      <c r="I845" s="45"/>
      <c r="J845" s="45"/>
      <c r="K845" s="45"/>
      <c r="L845" s="103"/>
      <c r="M845" s="102"/>
      <c r="N845" s="104"/>
      <c r="O845" s="102"/>
      <c r="P845" s="105"/>
      <c r="Q845" s="227"/>
    </row>
    <row r="846" spans="1:17" ht="12.75" customHeight="1">
      <c r="A846" s="120" t="s">
        <v>314</v>
      </c>
      <c r="B846" s="102">
        <f>+B847+B851</f>
        <v>420591</v>
      </c>
      <c r="C846" s="102">
        <f>+C847+C851</f>
        <v>149079</v>
      </c>
      <c r="D846" s="102">
        <f>+D847+D851</f>
        <v>569670</v>
      </c>
      <c r="E846" s="102">
        <f t="shared" ref="E846:P846" si="508">+E847+E851</f>
        <v>367424</v>
      </c>
      <c r="F846" s="102">
        <f t="shared" si="508"/>
        <v>86968</v>
      </c>
      <c r="G846" s="102">
        <f t="shared" si="508"/>
        <v>165091</v>
      </c>
      <c r="H846" s="102">
        <f t="shared" si="508"/>
        <v>619483</v>
      </c>
      <c r="I846" s="45">
        <f t="shared" si="508"/>
        <v>363618</v>
      </c>
      <c r="J846" s="45">
        <f t="shared" si="508"/>
        <v>85120</v>
      </c>
      <c r="K846" s="45">
        <f t="shared" si="508"/>
        <v>103932</v>
      </c>
      <c r="L846" s="103">
        <f t="shared" si="508"/>
        <v>552670</v>
      </c>
      <c r="M846" s="102">
        <f t="shared" si="508"/>
        <v>3806</v>
      </c>
      <c r="N846" s="104">
        <f t="shared" si="508"/>
        <v>1848</v>
      </c>
      <c r="O846" s="102">
        <f t="shared" si="508"/>
        <v>61159</v>
      </c>
      <c r="P846" s="105">
        <f t="shared" si="508"/>
        <v>66813</v>
      </c>
      <c r="Q846" s="106">
        <f>+L846/H846</f>
        <v>0.89214716142331585</v>
      </c>
    </row>
    <row r="847" spans="1:17" ht="12.75" customHeight="1">
      <c r="A847" s="127" t="s">
        <v>15</v>
      </c>
      <c r="B847" s="108">
        <f>SUM(B848:B850)</f>
        <v>420591</v>
      </c>
      <c r="C847" s="108">
        <f>SUM(C848:C850)</f>
        <v>147713</v>
      </c>
      <c r="D847" s="108">
        <f>SUM(D848:D850)</f>
        <v>568304</v>
      </c>
      <c r="E847" s="108">
        <f t="shared" ref="E847:P847" si="509">SUM(E848:E850)</f>
        <v>367424</v>
      </c>
      <c r="F847" s="108">
        <f t="shared" si="509"/>
        <v>86092</v>
      </c>
      <c r="G847" s="108">
        <f t="shared" si="509"/>
        <v>164601</v>
      </c>
      <c r="H847" s="108">
        <f t="shared" si="509"/>
        <v>618117</v>
      </c>
      <c r="I847" s="109">
        <f>SUM(I848:I850)</f>
        <v>363618</v>
      </c>
      <c r="J847" s="109">
        <f>SUM(J848:J850)</f>
        <v>84244</v>
      </c>
      <c r="K847" s="109">
        <f>SUM(K848:K850)</f>
        <v>103442</v>
      </c>
      <c r="L847" s="110">
        <f>SUM(L848:L850)</f>
        <v>551304</v>
      </c>
      <c r="M847" s="108">
        <f t="shared" si="509"/>
        <v>3806</v>
      </c>
      <c r="N847" s="111">
        <f t="shared" si="509"/>
        <v>1848</v>
      </c>
      <c r="O847" s="108">
        <f t="shared" si="509"/>
        <v>61159</v>
      </c>
      <c r="P847" s="112">
        <f t="shared" si="509"/>
        <v>66813</v>
      </c>
      <c r="Q847" s="106"/>
    </row>
    <row r="848" spans="1:17" ht="12.75" customHeight="1">
      <c r="A848" s="113" t="s">
        <v>16</v>
      </c>
      <c r="B848" s="114">
        <v>394940</v>
      </c>
      <c r="C848" s="114"/>
      <c r="D848" s="114">
        <f>+B848+C848</f>
        <v>394940</v>
      </c>
      <c r="E848" s="114">
        <v>306648</v>
      </c>
      <c r="F848" s="114">
        <v>86092</v>
      </c>
      <c r="G848" s="114">
        <v>50799</v>
      </c>
      <c r="H848" s="114">
        <f>SUM(E848:G848)</f>
        <v>443539</v>
      </c>
      <c r="I848" s="43">
        <v>302846</v>
      </c>
      <c r="J848" s="43">
        <v>84244</v>
      </c>
      <c r="K848" s="43">
        <v>2200</v>
      </c>
      <c r="L848" s="78">
        <f>SUM(I848:K848)</f>
        <v>389290</v>
      </c>
      <c r="M848" s="114">
        <f t="shared" ref="M848:O850" si="510">+E848-I848</f>
        <v>3802</v>
      </c>
      <c r="N848" s="115">
        <f t="shared" si="510"/>
        <v>1848</v>
      </c>
      <c r="O848" s="114">
        <f t="shared" si="510"/>
        <v>48599</v>
      </c>
      <c r="P848" s="116">
        <f>SUM(M848:O848)</f>
        <v>54249</v>
      </c>
      <c r="Q848" s="106"/>
    </row>
    <row r="849" spans="1:17" ht="12.75" customHeight="1">
      <c r="A849" s="113" t="s">
        <v>17</v>
      </c>
      <c r="B849" s="114"/>
      <c r="C849" s="114">
        <f>+H849</f>
        <v>147713</v>
      </c>
      <c r="D849" s="114">
        <f>+B849+C849</f>
        <v>147713</v>
      </c>
      <c r="E849" s="114">
        <v>33911</v>
      </c>
      <c r="F849" s="114"/>
      <c r="G849" s="114">
        <v>113802</v>
      </c>
      <c r="H849" s="114">
        <f>SUM(E849:G849)</f>
        <v>147713</v>
      </c>
      <c r="I849" s="43">
        <v>33911</v>
      </c>
      <c r="J849" s="43"/>
      <c r="K849" s="43">
        <v>101242</v>
      </c>
      <c r="L849" s="78">
        <f>SUM(I849:K849)</f>
        <v>135153</v>
      </c>
      <c r="M849" s="114">
        <f t="shared" si="510"/>
        <v>0</v>
      </c>
      <c r="N849" s="115">
        <f t="shared" si="510"/>
        <v>0</v>
      </c>
      <c r="O849" s="114">
        <f t="shared" si="510"/>
        <v>12560</v>
      </c>
      <c r="P849" s="116">
        <f>SUM(M849:O849)</f>
        <v>12560</v>
      </c>
      <c r="Q849" s="106"/>
    </row>
    <row r="850" spans="1:17" ht="12.75" customHeight="1">
      <c r="A850" s="113" t="s">
        <v>18</v>
      </c>
      <c r="B850" s="114">
        <v>25651</v>
      </c>
      <c r="C850" s="114"/>
      <c r="D850" s="114">
        <f>+B850+C850</f>
        <v>25651</v>
      </c>
      <c r="E850" s="114">
        <v>26865</v>
      </c>
      <c r="F850" s="114"/>
      <c r="G850" s="114"/>
      <c r="H850" s="114">
        <f>SUM(E850:G850)</f>
        <v>26865</v>
      </c>
      <c r="I850" s="43">
        <v>26861</v>
      </c>
      <c r="J850" s="43"/>
      <c r="K850" s="43"/>
      <c r="L850" s="78">
        <f>SUM(I850:K850)</f>
        <v>26861</v>
      </c>
      <c r="M850" s="114">
        <f t="shared" si="510"/>
        <v>4</v>
      </c>
      <c r="N850" s="115">
        <f t="shared" si="510"/>
        <v>0</v>
      </c>
      <c r="O850" s="114">
        <f t="shared" si="510"/>
        <v>0</v>
      </c>
      <c r="P850" s="116">
        <f>SUM(M850:O850)</f>
        <v>4</v>
      </c>
      <c r="Q850" s="106"/>
    </row>
    <row r="851" spans="1:17" ht="12.75" customHeight="1">
      <c r="A851" s="113" t="s">
        <v>19</v>
      </c>
      <c r="B851" s="102">
        <f>SUM(B852:B853)</f>
        <v>0</v>
      </c>
      <c r="C851" s="102">
        <f>SUM(C852:C853)</f>
        <v>1366</v>
      </c>
      <c r="D851" s="102">
        <f>SUM(D852:D853)</f>
        <v>1366</v>
      </c>
      <c r="E851" s="102">
        <f t="shared" ref="E851:P851" si="511">SUM(E852:E853)</f>
        <v>0</v>
      </c>
      <c r="F851" s="102">
        <f t="shared" si="511"/>
        <v>876</v>
      </c>
      <c r="G851" s="102">
        <f t="shared" si="511"/>
        <v>490</v>
      </c>
      <c r="H851" s="102">
        <f t="shared" si="511"/>
        <v>1366</v>
      </c>
      <c r="I851" s="45">
        <f>SUM(I852:I853)</f>
        <v>0</v>
      </c>
      <c r="J851" s="45">
        <f>SUM(J852:J853)</f>
        <v>876</v>
      </c>
      <c r="K851" s="45">
        <f>SUM(K852:K853)</f>
        <v>490</v>
      </c>
      <c r="L851" s="103">
        <f>SUM(L852:L853)</f>
        <v>1366</v>
      </c>
      <c r="M851" s="102">
        <f t="shared" si="511"/>
        <v>0</v>
      </c>
      <c r="N851" s="104">
        <f t="shared" si="511"/>
        <v>0</v>
      </c>
      <c r="O851" s="102">
        <f t="shared" si="511"/>
        <v>0</v>
      </c>
      <c r="P851" s="105">
        <f t="shared" si="511"/>
        <v>0</v>
      </c>
      <c r="Q851" s="106"/>
    </row>
    <row r="852" spans="1:17" ht="12.75" customHeight="1">
      <c r="A852" s="113" t="s">
        <v>20</v>
      </c>
      <c r="B852" s="114"/>
      <c r="C852" s="114">
        <f>+H852</f>
        <v>1366</v>
      </c>
      <c r="D852" s="114">
        <f>+B852+C852</f>
        <v>1366</v>
      </c>
      <c r="E852" s="114"/>
      <c r="F852" s="114">
        <v>876</v>
      </c>
      <c r="G852" s="114">
        <v>490</v>
      </c>
      <c r="H852" s="114">
        <f>SUM(E852:G852)</f>
        <v>1366</v>
      </c>
      <c r="I852" s="43"/>
      <c r="J852" s="43">
        <v>876</v>
      </c>
      <c r="K852" s="43">
        <v>490</v>
      </c>
      <c r="L852" s="78">
        <f>SUM(I852:K852)</f>
        <v>1366</v>
      </c>
      <c r="M852" s="114">
        <f t="shared" ref="M852:O853" si="512">+E852-I852</f>
        <v>0</v>
      </c>
      <c r="N852" s="115">
        <f t="shared" si="512"/>
        <v>0</v>
      </c>
      <c r="O852" s="114">
        <f t="shared" si="512"/>
        <v>0</v>
      </c>
      <c r="P852" s="116">
        <f>SUM(M852:O852)</f>
        <v>0</v>
      </c>
      <c r="Q852" s="106"/>
    </row>
    <row r="853" spans="1:17" ht="12.75" customHeight="1">
      <c r="A853" s="113" t="s">
        <v>21</v>
      </c>
      <c r="B853" s="114"/>
      <c r="C853" s="114">
        <f>+H853</f>
        <v>0</v>
      </c>
      <c r="D853" s="114">
        <f>+B853+C853</f>
        <v>0</v>
      </c>
      <c r="E853" s="114"/>
      <c r="F853" s="114"/>
      <c r="G853" s="114"/>
      <c r="H853" s="114">
        <f>SUM(E853:G853)</f>
        <v>0</v>
      </c>
      <c r="I853" s="43"/>
      <c r="J853" s="43"/>
      <c r="K853" s="43"/>
      <c r="L853" s="78">
        <f>SUM(I853:K853)</f>
        <v>0</v>
      </c>
      <c r="M853" s="114">
        <f t="shared" si="512"/>
        <v>0</v>
      </c>
      <c r="N853" s="115">
        <f t="shared" si="512"/>
        <v>0</v>
      </c>
      <c r="O853" s="114">
        <f t="shared" si="512"/>
        <v>0</v>
      </c>
      <c r="P853" s="116">
        <f>SUM(M853:O853)</f>
        <v>0</v>
      </c>
      <c r="Q853" s="106"/>
    </row>
    <row r="854" spans="1:17" ht="12.75" customHeight="1">
      <c r="A854" s="229"/>
      <c r="B854" s="230"/>
      <c r="C854" s="230"/>
      <c r="D854" s="230"/>
      <c r="E854" s="102"/>
      <c r="F854" s="102"/>
      <c r="G854" s="102"/>
      <c r="H854" s="102"/>
      <c r="I854" s="74"/>
      <c r="J854" s="74"/>
      <c r="K854" s="74"/>
      <c r="L854" s="138"/>
      <c r="M854" s="102"/>
      <c r="N854" s="104"/>
      <c r="O854" s="102"/>
      <c r="P854" s="105"/>
      <c r="Q854" s="227"/>
    </row>
    <row r="855" spans="1:17" ht="12.75" customHeight="1">
      <c r="A855" s="145" t="s">
        <v>315</v>
      </c>
      <c r="B855" s="102">
        <f>+B856+B860</f>
        <v>1530307</v>
      </c>
      <c r="C855" s="102">
        <f>+C856+C860</f>
        <v>94390</v>
      </c>
      <c r="D855" s="102">
        <f>+D856+D860</f>
        <v>1624697</v>
      </c>
      <c r="E855" s="102">
        <f t="shared" ref="E855:P855" si="513">+E856+E860</f>
        <v>1223010</v>
      </c>
      <c r="F855" s="102">
        <f t="shared" si="513"/>
        <v>372579</v>
      </c>
      <c r="G855" s="102">
        <f t="shared" si="513"/>
        <v>92607</v>
      </c>
      <c r="H855" s="102">
        <f t="shared" si="513"/>
        <v>1688196</v>
      </c>
      <c r="I855" s="139">
        <f>+I856+I860</f>
        <v>1192238</v>
      </c>
      <c r="J855" s="139">
        <f>+J856+J860</f>
        <v>300321</v>
      </c>
      <c r="K855" s="139">
        <f>+K856+K860</f>
        <v>4772</v>
      </c>
      <c r="L855" s="139">
        <f>+L856+L860</f>
        <v>1497331</v>
      </c>
      <c r="M855" s="102">
        <f t="shared" si="513"/>
        <v>30772</v>
      </c>
      <c r="N855" s="104">
        <f t="shared" si="513"/>
        <v>72258</v>
      </c>
      <c r="O855" s="102">
        <f t="shared" si="513"/>
        <v>87835</v>
      </c>
      <c r="P855" s="105">
        <f t="shared" si="513"/>
        <v>190865</v>
      </c>
      <c r="Q855" s="106">
        <f>+L855/H855</f>
        <v>0.88694144518764406</v>
      </c>
    </row>
    <row r="856" spans="1:17" ht="12.75" customHeight="1">
      <c r="A856" s="127" t="s">
        <v>15</v>
      </c>
      <c r="B856" s="108">
        <f>SUM(B857:B859)</f>
        <v>1530307</v>
      </c>
      <c r="C856" s="108">
        <f>SUM(C857:C859)</f>
        <v>94124</v>
      </c>
      <c r="D856" s="108">
        <f>SUM(D857:D859)</f>
        <v>1624431</v>
      </c>
      <c r="E856" s="108">
        <f t="shared" ref="E856:P856" si="514">SUM(E857:E859)</f>
        <v>1223010</v>
      </c>
      <c r="F856" s="108">
        <f t="shared" si="514"/>
        <v>372579</v>
      </c>
      <c r="G856" s="108">
        <f t="shared" si="514"/>
        <v>92341</v>
      </c>
      <c r="H856" s="108">
        <f t="shared" si="514"/>
        <v>1687930</v>
      </c>
      <c r="I856" s="141">
        <f>SUM(I857:I859)</f>
        <v>1192238</v>
      </c>
      <c r="J856" s="141">
        <f>SUM(J857:J859)</f>
        <v>300321</v>
      </c>
      <c r="K856" s="141">
        <f>SUM(K857:K859)</f>
        <v>4515</v>
      </c>
      <c r="L856" s="141">
        <f>SUM(L857:L859)</f>
        <v>1497074</v>
      </c>
      <c r="M856" s="108">
        <f t="shared" si="514"/>
        <v>30772</v>
      </c>
      <c r="N856" s="111">
        <f t="shared" si="514"/>
        <v>72258</v>
      </c>
      <c r="O856" s="108">
        <f t="shared" si="514"/>
        <v>87826</v>
      </c>
      <c r="P856" s="112">
        <f t="shared" si="514"/>
        <v>190856</v>
      </c>
      <c r="Q856" s="106"/>
    </row>
    <row r="857" spans="1:17" ht="12.75" customHeight="1">
      <c r="A857" s="113" t="s">
        <v>16</v>
      </c>
      <c r="B857" s="114">
        <f t="shared" ref="B857:G859" si="515">+B866+B875+B884+B893+B902+B911+B920+B929+B938</f>
        <v>1433843</v>
      </c>
      <c r="C857" s="114">
        <f t="shared" si="515"/>
        <v>0</v>
      </c>
      <c r="D857" s="114">
        <f t="shared" si="515"/>
        <v>1433843</v>
      </c>
      <c r="E857" s="114">
        <f t="shared" si="515"/>
        <v>1040348</v>
      </c>
      <c r="F857" s="114">
        <f t="shared" si="515"/>
        <v>372579</v>
      </c>
      <c r="G857" s="114">
        <f t="shared" si="515"/>
        <v>55498</v>
      </c>
      <c r="H857" s="114">
        <f>SUM(E857:G857)</f>
        <v>1468425</v>
      </c>
      <c r="I857" s="143">
        <f t="shared" ref="I857:K859" si="516">+I866+I875+I884+I893+I902+I911+I920+I929+I938</f>
        <v>1033967</v>
      </c>
      <c r="J857" s="143">
        <f t="shared" si="516"/>
        <v>300321</v>
      </c>
      <c r="K857" s="143">
        <f t="shared" si="516"/>
        <v>4053</v>
      </c>
      <c r="L857" s="143">
        <f>SUM(I857:K857)</f>
        <v>1338341</v>
      </c>
      <c r="M857" s="114">
        <f t="shared" ref="M857:O859" si="517">+E857-I857</f>
        <v>6381</v>
      </c>
      <c r="N857" s="115">
        <f t="shared" si="517"/>
        <v>72258</v>
      </c>
      <c r="O857" s="114">
        <f t="shared" si="517"/>
        <v>51445</v>
      </c>
      <c r="P857" s="116">
        <f>SUM(M857:O857)</f>
        <v>130084</v>
      </c>
      <c r="Q857" s="106"/>
    </row>
    <row r="858" spans="1:17" ht="12.75" customHeight="1">
      <c r="A858" s="113" t="s">
        <v>17</v>
      </c>
      <c r="B858" s="114">
        <f t="shared" si="515"/>
        <v>0</v>
      </c>
      <c r="C858" s="114">
        <f t="shared" si="515"/>
        <v>94124</v>
      </c>
      <c r="D858" s="114">
        <f t="shared" si="515"/>
        <v>94124</v>
      </c>
      <c r="E858" s="114">
        <f t="shared" si="515"/>
        <v>85234</v>
      </c>
      <c r="F858" s="114">
        <f t="shared" si="515"/>
        <v>0</v>
      </c>
      <c r="G858" s="114">
        <f t="shared" si="515"/>
        <v>36843</v>
      </c>
      <c r="H858" s="114">
        <f>SUM(E858:G858)</f>
        <v>122077</v>
      </c>
      <c r="I858" s="143">
        <f t="shared" si="516"/>
        <v>72747</v>
      </c>
      <c r="J858" s="143">
        <f t="shared" si="516"/>
        <v>0</v>
      </c>
      <c r="K858" s="143">
        <f t="shared" si="516"/>
        <v>462</v>
      </c>
      <c r="L858" s="143">
        <f>SUM(I858:K858)</f>
        <v>73209</v>
      </c>
      <c r="M858" s="114">
        <f t="shared" si="517"/>
        <v>12487</v>
      </c>
      <c r="N858" s="115">
        <f t="shared" si="517"/>
        <v>0</v>
      </c>
      <c r="O858" s="114">
        <f t="shared" si="517"/>
        <v>36381</v>
      </c>
      <c r="P858" s="116">
        <f>SUM(M858:O858)</f>
        <v>48868</v>
      </c>
      <c r="Q858" s="106"/>
    </row>
    <row r="859" spans="1:17" ht="12.75" customHeight="1">
      <c r="A859" s="113" t="s">
        <v>18</v>
      </c>
      <c r="B859" s="114">
        <f t="shared" si="515"/>
        <v>96464</v>
      </c>
      <c r="C859" s="114">
        <f t="shared" si="515"/>
        <v>0</v>
      </c>
      <c r="D859" s="114">
        <f t="shared" si="515"/>
        <v>96464</v>
      </c>
      <c r="E859" s="114">
        <f t="shared" si="515"/>
        <v>97428</v>
      </c>
      <c r="F859" s="114">
        <f t="shared" si="515"/>
        <v>0</v>
      </c>
      <c r="G859" s="114">
        <f t="shared" si="515"/>
        <v>0</v>
      </c>
      <c r="H859" s="114">
        <f>SUM(E859:G859)</f>
        <v>97428</v>
      </c>
      <c r="I859" s="143">
        <f t="shared" si="516"/>
        <v>85524</v>
      </c>
      <c r="J859" s="143">
        <f t="shared" si="516"/>
        <v>0</v>
      </c>
      <c r="K859" s="143">
        <f t="shared" si="516"/>
        <v>0</v>
      </c>
      <c r="L859" s="143">
        <f>SUM(I859:K859)</f>
        <v>85524</v>
      </c>
      <c r="M859" s="114">
        <f t="shared" si="517"/>
        <v>11904</v>
      </c>
      <c r="N859" s="115">
        <f t="shared" si="517"/>
        <v>0</v>
      </c>
      <c r="O859" s="114">
        <f t="shared" si="517"/>
        <v>0</v>
      </c>
      <c r="P859" s="116">
        <f>SUM(M859:O859)</f>
        <v>11904</v>
      </c>
      <c r="Q859" s="106"/>
    </row>
    <row r="860" spans="1:17" ht="12.75" customHeight="1">
      <c r="A860" s="113" t="s">
        <v>19</v>
      </c>
      <c r="B860" s="102">
        <f>SUM(B861:B862)</f>
        <v>0</v>
      </c>
      <c r="C860" s="102">
        <f>SUM(C861:C862)</f>
        <v>266</v>
      </c>
      <c r="D860" s="102">
        <f>SUM(D861:D862)</f>
        <v>266</v>
      </c>
      <c r="E860" s="102">
        <f t="shared" ref="E860:P860" si="518">SUM(E861:E862)</f>
        <v>0</v>
      </c>
      <c r="F860" s="102">
        <f t="shared" si="518"/>
        <v>0</v>
      </c>
      <c r="G860" s="102">
        <f t="shared" si="518"/>
        <v>266</v>
      </c>
      <c r="H860" s="102">
        <f t="shared" si="518"/>
        <v>266</v>
      </c>
      <c r="I860" s="139">
        <f>SUM(I861:I862)</f>
        <v>0</v>
      </c>
      <c r="J860" s="139">
        <f>SUM(J861:J862)</f>
        <v>0</v>
      </c>
      <c r="K860" s="139">
        <f>SUM(K861:K862)</f>
        <v>257</v>
      </c>
      <c r="L860" s="139">
        <f>SUM(L861:L862)</f>
        <v>257</v>
      </c>
      <c r="M860" s="102">
        <f t="shared" si="518"/>
        <v>0</v>
      </c>
      <c r="N860" s="104">
        <f t="shared" si="518"/>
        <v>0</v>
      </c>
      <c r="O860" s="102">
        <f t="shared" si="518"/>
        <v>9</v>
      </c>
      <c r="P860" s="105">
        <f t="shared" si="518"/>
        <v>9</v>
      </c>
      <c r="Q860" s="106"/>
    </row>
    <row r="861" spans="1:17" ht="12.75" customHeight="1">
      <c r="A861" s="113" t="s">
        <v>20</v>
      </c>
      <c r="B861" s="114">
        <f t="shared" ref="B861:G862" si="519">+B870+B879+B888+B897+B906+B915+B924+B933+B942</f>
        <v>0</v>
      </c>
      <c r="C861" s="114">
        <f t="shared" si="519"/>
        <v>266</v>
      </c>
      <c r="D861" s="114">
        <f t="shared" si="519"/>
        <v>266</v>
      </c>
      <c r="E861" s="114">
        <f t="shared" si="519"/>
        <v>0</v>
      </c>
      <c r="F861" s="114">
        <f t="shared" si="519"/>
        <v>0</v>
      </c>
      <c r="G861" s="114">
        <f t="shared" si="519"/>
        <v>266</v>
      </c>
      <c r="H861" s="114">
        <f>SUM(E861:G861)</f>
        <v>266</v>
      </c>
      <c r="I861" s="143">
        <f t="shared" ref="I861:K862" si="520">+I870+I879+I888+I897+I906+I915+I924+I933+I942</f>
        <v>0</v>
      </c>
      <c r="J861" s="143">
        <f t="shared" si="520"/>
        <v>0</v>
      </c>
      <c r="K861" s="143">
        <f t="shared" si="520"/>
        <v>257</v>
      </c>
      <c r="L861" s="143">
        <f>SUM(I861:K861)</f>
        <v>257</v>
      </c>
      <c r="M861" s="114">
        <f t="shared" ref="M861:O862" si="521">+E861-I861</f>
        <v>0</v>
      </c>
      <c r="N861" s="115">
        <f t="shared" si="521"/>
        <v>0</v>
      </c>
      <c r="O861" s="114">
        <f t="shared" si="521"/>
        <v>9</v>
      </c>
      <c r="P861" s="116">
        <f>SUM(M861:O861)</f>
        <v>9</v>
      </c>
      <c r="Q861" s="106"/>
    </row>
    <row r="862" spans="1:17" ht="12.75" customHeight="1">
      <c r="A862" s="113" t="s">
        <v>21</v>
      </c>
      <c r="B862" s="114">
        <f t="shared" si="519"/>
        <v>0</v>
      </c>
      <c r="C862" s="114">
        <f t="shared" si="519"/>
        <v>0</v>
      </c>
      <c r="D862" s="114">
        <f t="shared" si="519"/>
        <v>0</v>
      </c>
      <c r="E862" s="114">
        <f t="shared" si="519"/>
        <v>0</v>
      </c>
      <c r="F862" s="114">
        <f t="shared" si="519"/>
        <v>0</v>
      </c>
      <c r="G862" s="114">
        <f t="shared" si="519"/>
        <v>0</v>
      </c>
      <c r="H862" s="114">
        <f>SUM(E862:G862)</f>
        <v>0</v>
      </c>
      <c r="I862" s="143">
        <f t="shared" si="520"/>
        <v>0</v>
      </c>
      <c r="J862" s="143">
        <f t="shared" si="520"/>
        <v>0</v>
      </c>
      <c r="K862" s="143">
        <f t="shared" si="520"/>
        <v>0</v>
      </c>
      <c r="L862" s="143">
        <f>SUM(I862:K862)</f>
        <v>0</v>
      </c>
      <c r="M862" s="114">
        <f t="shared" si="521"/>
        <v>0</v>
      </c>
      <c r="N862" s="115">
        <f t="shared" si="521"/>
        <v>0</v>
      </c>
      <c r="O862" s="114">
        <f t="shared" si="521"/>
        <v>0</v>
      </c>
      <c r="P862" s="116">
        <f>SUM(M862:O862)</f>
        <v>0</v>
      </c>
      <c r="Q862" s="106"/>
    </row>
    <row r="863" spans="1:17" ht="12.75" customHeight="1">
      <c r="A863" s="145"/>
      <c r="B863" s="146"/>
      <c r="C863" s="146"/>
      <c r="D863" s="146"/>
      <c r="E863" s="114"/>
      <c r="F863" s="114"/>
      <c r="G863" s="114"/>
      <c r="H863" s="114"/>
      <c r="I863" s="63"/>
      <c r="J863" s="63"/>
      <c r="K863" s="63"/>
      <c r="L863" s="79"/>
      <c r="M863" s="114"/>
      <c r="N863" s="115"/>
      <c r="O863" s="114"/>
      <c r="P863" s="116"/>
      <c r="Q863" s="106"/>
    </row>
    <row r="864" spans="1:17" ht="12.75" customHeight="1">
      <c r="A864" s="135" t="s">
        <v>316</v>
      </c>
      <c r="B864" s="102">
        <f>+B865+B869</f>
        <v>98387</v>
      </c>
      <c r="C864" s="102">
        <f>+C865+C869</f>
        <v>0</v>
      </c>
      <c r="D864" s="102">
        <f>+D865+D869</f>
        <v>98387</v>
      </c>
      <c r="E864" s="102">
        <f t="shared" ref="E864:P864" si="522">+E865+E869</f>
        <v>64203</v>
      </c>
      <c r="F864" s="102">
        <f t="shared" si="522"/>
        <v>35195</v>
      </c>
      <c r="G864" s="102">
        <f t="shared" si="522"/>
        <v>723</v>
      </c>
      <c r="H864" s="102">
        <f t="shared" si="522"/>
        <v>100121</v>
      </c>
      <c r="I864" s="45">
        <f t="shared" si="522"/>
        <v>64189</v>
      </c>
      <c r="J864" s="45">
        <f t="shared" si="522"/>
        <v>32211</v>
      </c>
      <c r="K864" s="45">
        <f t="shared" si="522"/>
        <v>723</v>
      </c>
      <c r="L864" s="103">
        <f t="shared" si="522"/>
        <v>97123</v>
      </c>
      <c r="M864" s="102">
        <f t="shared" si="522"/>
        <v>14</v>
      </c>
      <c r="N864" s="104">
        <f t="shared" si="522"/>
        <v>2984</v>
      </c>
      <c r="O864" s="102">
        <f t="shared" si="522"/>
        <v>0</v>
      </c>
      <c r="P864" s="105">
        <f t="shared" si="522"/>
        <v>2998</v>
      </c>
      <c r="Q864" s="106">
        <f>+L864/H864</f>
        <v>0.97005623195932922</v>
      </c>
    </row>
    <row r="865" spans="1:17" ht="12.75" customHeight="1">
      <c r="A865" s="127" t="s">
        <v>15</v>
      </c>
      <c r="B865" s="108">
        <f>SUM(B866:B868)</f>
        <v>98387</v>
      </c>
      <c r="C865" s="108">
        <f>SUM(C866:C868)</f>
        <v>0</v>
      </c>
      <c r="D865" s="108">
        <f>SUM(D866:D868)</f>
        <v>98387</v>
      </c>
      <c r="E865" s="108">
        <f t="shared" ref="E865:P865" si="523">SUM(E866:E868)</f>
        <v>64203</v>
      </c>
      <c r="F865" s="108">
        <f t="shared" si="523"/>
        <v>35195</v>
      </c>
      <c r="G865" s="108">
        <f t="shared" si="523"/>
        <v>723</v>
      </c>
      <c r="H865" s="108">
        <f t="shared" si="523"/>
        <v>100121</v>
      </c>
      <c r="I865" s="109">
        <f>SUM(I866:I868)</f>
        <v>64189</v>
      </c>
      <c r="J865" s="109">
        <f>SUM(J866:J868)</f>
        <v>32211</v>
      </c>
      <c r="K865" s="109">
        <f>SUM(K866:K868)</f>
        <v>723</v>
      </c>
      <c r="L865" s="110">
        <f>SUM(L866:L868)</f>
        <v>97123</v>
      </c>
      <c r="M865" s="108">
        <f t="shared" si="523"/>
        <v>14</v>
      </c>
      <c r="N865" s="111">
        <f t="shared" si="523"/>
        <v>2984</v>
      </c>
      <c r="O865" s="108">
        <f t="shared" si="523"/>
        <v>0</v>
      </c>
      <c r="P865" s="112">
        <f t="shared" si="523"/>
        <v>2998</v>
      </c>
      <c r="Q865" s="106"/>
    </row>
    <row r="866" spans="1:17" ht="12.75" customHeight="1">
      <c r="A866" s="113" t="s">
        <v>16</v>
      </c>
      <c r="B866" s="114">
        <v>93216</v>
      </c>
      <c r="C866" s="114"/>
      <c r="D866" s="114">
        <f>+B866+C866</f>
        <v>93216</v>
      </c>
      <c r="E866" s="114">
        <v>57298</v>
      </c>
      <c r="F866" s="114">
        <v>35195</v>
      </c>
      <c r="G866" s="114">
        <v>723</v>
      </c>
      <c r="H866" s="114">
        <f>SUM(E866:G866)</f>
        <v>93216</v>
      </c>
      <c r="I866" s="43">
        <f>57302-4</f>
        <v>57298</v>
      </c>
      <c r="J866" s="43">
        <v>32211</v>
      </c>
      <c r="K866" s="43">
        <v>723</v>
      </c>
      <c r="L866" s="78">
        <f>SUM(I866:K866)</f>
        <v>90232</v>
      </c>
      <c r="M866" s="114">
        <f t="shared" ref="M866:O868" si="524">+E866-I866</f>
        <v>0</v>
      </c>
      <c r="N866" s="115">
        <f t="shared" si="524"/>
        <v>2984</v>
      </c>
      <c r="O866" s="114">
        <f t="shared" si="524"/>
        <v>0</v>
      </c>
      <c r="P866" s="116">
        <f>SUM(M866:O866)</f>
        <v>2984</v>
      </c>
      <c r="Q866" s="106"/>
    </row>
    <row r="867" spans="1:17" ht="12.75" customHeight="1">
      <c r="A867" s="113" t="s">
        <v>17</v>
      </c>
      <c r="B867" s="114"/>
      <c r="C867" s="114"/>
      <c r="D867" s="114">
        <f>+B867+C867</f>
        <v>0</v>
      </c>
      <c r="E867" s="114">
        <v>1669</v>
      </c>
      <c r="F867" s="114"/>
      <c r="G867" s="114"/>
      <c r="H867" s="114">
        <f>SUM(E867:G867)</f>
        <v>1669</v>
      </c>
      <c r="I867" s="43">
        <f>1665+4</f>
        <v>1669</v>
      </c>
      <c r="J867" s="43"/>
      <c r="K867" s="43"/>
      <c r="L867" s="78">
        <f>SUM(I867:K867)</f>
        <v>1669</v>
      </c>
      <c r="M867" s="114">
        <f t="shared" si="524"/>
        <v>0</v>
      </c>
      <c r="N867" s="115">
        <f t="shared" si="524"/>
        <v>0</v>
      </c>
      <c r="O867" s="114">
        <f t="shared" si="524"/>
        <v>0</v>
      </c>
      <c r="P867" s="116">
        <f>SUM(M867:O867)</f>
        <v>0</v>
      </c>
      <c r="Q867" s="106"/>
    </row>
    <row r="868" spans="1:17" ht="12.75" customHeight="1">
      <c r="A868" s="113" t="s">
        <v>18</v>
      </c>
      <c r="B868" s="114">
        <v>5171</v>
      </c>
      <c r="C868" s="114"/>
      <c r="D868" s="114">
        <f>+B868+C868</f>
        <v>5171</v>
      </c>
      <c r="E868" s="114">
        <v>5236</v>
      </c>
      <c r="F868" s="114"/>
      <c r="G868" s="114"/>
      <c r="H868" s="114">
        <f>SUM(E868:G868)</f>
        <v>5236</v>
      </c>
      <c r="I868" s="43">
        <v>5222</v>
      </c>
      <c r="J868" s="43"/>
      <c r="K868" s="43"/>
      <c r="L868" s="78">
        <f>SUM(I868:K868)</f>
        <v>5222</v>
      </c>
      <c r="M868" s="114">
        <f t="shared" si="524"/>
        <v>14</v>
      </c>
      <c r="N868" s="115">
        <f t="shared" si="524"/>
        <v>0</v>
      </c>
      <c r="O868" s="114">
        <f t="shared" si="524"/>
        <v>0</v>
      </c>
      <c r="P868" s="116">
        <f>SUM(M868:O868)</f>
        <v>14</v>
      </c>
      <c r="Q868" s="106"/>
    </row>
    <row r="869" spans="1:17" ht="12.75" customHeight="1">
      <c r="A869" s="113" t="s">
        <v>19</v>
      </c>
      <c r="B869" s="102">
        <f>SUM(B870:B871)</f>
        <v>0</v>
      </c>
      <c r="C869" s="102">
        <f>SUM(C870:C871)</f>
        <v>0</v>
      </c>
      <c r="D869" s="102">
        <f>SUM(D870:D871)</f>
        <v>0</v>
      </c>
      <c r="E869" s="102">
        <f t="shared" ref="E869:P869" si="525">SUM(E870:E871)</f>
        <v>0</v>
      </c>
      <c r="F869" s="102">
        <f t="shared" si="525"/>
        <v>0</v>
      </c>
      <c r="G869" s="102">
        <f t="shared" si="525"/>
        <v>0</v>
      </c>
      <c r="H869" s="102">
        <f t="shared" si="525"/>
        <v>0</v>
      </c>
      <c r="I869" s="45">
        <f>SUM(I870:I871)</f>
        <v>0</v>
      </c>
      <c r="J869" s="45">
        <f>SUM(J870:J871)</f>
        <v>0</v>
      </c>
      <c r="K869" s="45">
        <f>SUM(K870:K871)</f>
        <v>0</v>
      </c>
      <c r="L869" s="103">
        <f>SUM(L870:L871)</f>
        <v>0</v>
      </c>
      <c r="M869" s="102">
        <f t="shared" si="525"/>
        <v>0</v>
      </c>
      <c r="N869" s="104">
        <f t="shared" si="525"/>
        <v>0</v>
      </c>
      <c r="O869" s="102">
        <f t="shared" si="525"/>
        <v>0</v>
      </c>
      <c r="P869" s="105">
        <f t="shared" si="525"/>
        <v>0</v>
      </c>
      <c r="Q869" s="106"/>
    </row>
    <row r="870" spans="1:17" ht="12.75" customHeight="1">
      <c r="A870" s="113" t="s">
        <v>20</v>
      </c>
      <c r="B870" s="114"/>
      <c r="C870" s="114">
        <f>+H870</f>
        <v>0</v>
      </c>
      <c r="D870" s="114">
        <f>+B870+C870</f>
        <v>0</v>
      </c>
      <c r="E870" s="114"/>
      <c r="F870" s="114"/>
      <c r="G870" s="114"/>
      <c r="H870" s="114">
        <f>SUM(E870:G870)</f>
        <v>0</v>
      </c>
      <c r="I870" s="43"/>
      <c r="J870" s="43"/>
      <c r="K870" s="43"/>
      <c r="L870" s="78">
        <f>SUM(I870:K870)</f>
        <v>0</v>
      </c>
      <c r="M870" s="114">
        <f t="shared" ref="M870:O871" si="526">+E870-I870</f>
        <v>0</v>
      </c>
      <c r="N870" s="115">
        <f t="shared" si="526"/>
        <v>0</v>
      </c>
      <c r="O870" s="114">
        <f t="shared" si="526"/>
        <v>0</v>
      </c>
      <c r="P870" s="116">
        <f>SUM(M870:O870)</f>
        <v>0</v>
      </c>
      <c r="Q870" s="106"/>
    </row>
    <row r="871" spans="1:17" ht="12.75" customHeight="1">
      <c r="A871" s="113" t="s">
        <v>21</v>
      </c>
      <c r="B871" s="114"/>
      <c r="C871" s="114">
        <f>+H871</f>
        <v>0</v>
      </c>
      <c r="D871" s="114">
        <f>+B871+C871</f>
        <v>0</v>
      </c>
      <c r="E871" s="114"/>
      <c r="F871" s="114"/>
      <c r="G871" s="114"/>
      <c r="H871" s="114">
        <f>SUM(E871:G871)</f>
        <v>0</v>
      </c>
      <c r="I871" s="43"/>
      <c r="J871" s="43"/>
      <c r="K871" s="43"/>
      <c r="L871" s="78">
        <f>SUM(I871:K871)</f>
        <v>0</v>
      </c>
      <c r="M871" s="114">
        <f t="shared" si="526"/>
        <v>0</v>
      </c>
      <c r="N871" s="115">
        <f t="shared" si="526"/>
        <v>0</v>
      </c>
      <c r="O871" s="114">
        <f t="shared" si="526"/>
        <v>0</v>
      </c>
      <c r="P871" s="116">
        <f>SUM(M871:O871)</f>
        <v>0</v>
      </c>
      <c r="Q871" s="106"/>
    </row>
    <row r="872" spans="1:17" ht="12.75" customHeight="1">
      <c r="A872" s="127"/>
      <c r="B872" s="137"/>
      <c r="C872" s="137"/>
      <c r="D872" s="137"/>
      <c r="E872" s="114"/>
      <c r="F872" s="114"/>
      <c r="G872" s="114"/>
      <c r="H872" s="114"/>
      <c r="I872" s="63"/>
      <c r="J872" s="63"/>
      <c r="K872" s="63"/>
      <c r="L872" s="79"/>
      <c r="M872" s="114"/>
      <c r="N872" s="115"/>
      <c r="O872" s="114"/>
      <c r="P872" s="116"/>
      <c r="Q872" s="106"/>
    </row>
    <row r="873" spans="1:17">
      <c r="A873" s="135" t="s">
        <v>317</v>
      </c>
      <c r="B873" s="102">
        <f>+B874+B878</f>
        <v>240452</v>
      </c>
      <c r="C873" s="102">
        <f>+C874+C878</f>
        <v>0</v>
      </c>
      <c r="D873" s="102">
        <f>+D874+D878</f>
        <v>240452</v>
      </c>
      <c r="E873" s="102">
        <f t="shared" ref="E873:P873" si="527">+E874+E878</f>
        <v>166403</v>
      </c>
      <c r="F873" s="102">
        <f t="shared" si="527"/>
        <v>80211</v>
      </c>
      <c r="G873" s="102">
        <f t="shared" si="527"/>
        <v>223</v>
      </c>
      <c r="H873" s="102">
        <f t="shared" si="527"/>
        <v>246837</v>
      </c>
      <c r="I873" s="45">
        <f t="shared" si="527"/>
        <v>165052</v>
      </c>
      <c r="J873" s="45">
        <f t="shared" si="527"/>
        <v>54562</v>
      </c>
      <c r="K873" s="45">
        <f t="shared" si="527"/>
        <v>223</v>
      </c>
      <c r="L873" s="103">
        <f t="shared" si="527"/>
        <v>219837</v>
      </c>
      <c r="M873" s="102">
        <f t="shared" si="527"/>
        <v>1351</v>
      </c>
      <c r="N873" s="104">
        <f t="shared" si="527"/>
        <v>25649</v>
      </c>
      <c r="O873" s="102">
        <f t="shared" si="527"/>
        <v>0</v>
      </c>
      <c r="P873" s="105">
        <f t="shared" si="527"/>
        <v>27000</v>
      </c>
      <c r="Q873" s="106">
        <f>+L873/H873</f>
        <v>0.8906160745755296</v>
      </c>
    </row>
    <row r="874" spans="1:17" ht="12.75" customHeight="1">
      <c r="A874" s="127" t="s">
        <v>15</v>
      </c>
      <c r="B874" s="108">
        <f>SUM(B875:B877)</f>
        <v>240452</v>
      </c>
      <c r="C874" s="108">
        <f>SUM(C875:C877)</f>
        <v>0</v>
      </c>
      <c r="D874" s="108">
        <f>SUM(D875:D877)</f>
        <v>240452</v>
      </c>
      <c r="E874" s="108">
        <f t="shared" ref="E874:P874" si="528">SUM(E875:E877)</f>
        <v>166403</v>
      </c>
      <c r="F874" s="108">
        <f t="shared" si="528"/>
        <v>80211</v>
      </c>
      <c r="G874" s="108">
        <f t="shared" si="528"/>
        <v>223</v>
      </c>
      <c r="H874" s="108">
        <f t="shared" si="528"/>
        <v>246837</v>
      </c>
      <c r="I874" s="109">
        <f>SUM(I875:I877)</f>
        <v>165052</v>
      </c>
      <c r="J874" s="109">
        <f>SUM(J875:J877)</f>
        <v>54562</v>
      </c>
      <c r="K874" s="109">
        <f>SUM(K875:K877)</f>
        <v>223</v>
      </c>
      <c r="L874" s="110">
        <f>SUM(L875:L877)</f>
        <v>219837</v>
      </c>
      <c r="M874" s="108">
        <f t="shared" si="528"/>
        <v>1351</v>
      </c>
      <c r="N874" s="111">
        <f t="shared" si="528"/>
        <v>25649</v>
      </c>
      <c r="O874" s="108">
        <f t="shared" si="528"/>
        <v>0</v>
      </c>
      <c r="P874" s="112">
        <f t="shared" si="528"/>
        <v>27000</v>
      </c>
      <c r="Q874" s="106"/>
    </row>
    <row r="875" spans="1:17" ht="12.75" customHeight="1">
      <c r="A875" s="113" t="s">
        <v>16</v>
      </c>
      <c r="B875" s="114">
        <v>226640</v>
      </c>
      <c r="C875" s="114"/>
      <c r="D875" s="114">
        <f>+B875+C875</f>
        <v>226640</v>
      </c>
      <c r="E875" s="114">
        <v>146206</v>
      </c>
      <c r="F875" s="114">
        <v>80211</v>
      </c>
      <c r="G875" s="114">
        <v>223</v>
      </c>
      <c r="H875" s="114">
        <f>SUM(E875:G875)</f>
        <v>226640</v>
      </c>
      <c r="I875" s="43">
        <f>146397-191</f>
        <v>146206</v>
      </c>
      <c r="J875" s="43">
        <v>54562</v>
      </c>
      <c r="K875" s="43">
        <v>223</v>
      </c>
      <c r="L875" s="78">
        <f>SUM(I875:K875)</f>
        <v>200991</v>
      </c>
      <c r="M875" s="114">
        <f t="shared" ref="M875:O877" si="529">+E875-I875</f>
        <v>0</v>
      </c>
      <c r="N875" s="115">
        <f t="shared" si="529"/>
        <v>25649</v>
      </c>
      <c r="O875" s="114">
        <f t="shared" si="529"/>
        <v>0</v>
      </c>
      <c r="P875" s="116">
        <f>SUM(M875:O875)</f>
        <v>25649</v>
      </c>
      <c r="Q875" s="106"/>
    </row>
    <row r="876" spans="1:17" ht="12.75" customHeight="1">
      <c r="A876" s="113" t="s">
        <v>17</v>
      </c>
      <c r="B876" s="114"/>
      <c r="C876" s="114"/>
      <c r="D876" s="114">
        <f>+B876+C876</f>
        <v>0</v>
      </c>
      <c r="E876" s="114">
        <v>6095</v>
      </c>
      <c r="F876" s="114"/>
      <c r="G876" s="114"/>
      <c r="H876" s="114">
        <f>SUM(E876:G876)</f>
        <v>6095</v>
      </c>
      <c r="I876" s="43">
        <v>6095</v>
      </c>
      <c r="J876" s="43"/>
      <c r="K876" s="43"/>
      <c r="L876" s="78">
        <f>SUM(I876:K876)</f>
        <v>6095</v>
      </c>
      <c r="M876" s="114">
        <f t="shared" si="529"/>
        <v>0</v>
      </c>
      <c r="N876" s="115">
        <f t="shared" si="529"/>
        <v>0</v>
      </c>
      <c r="O876" s="114">
        <f t="shared" si="529"/>
        <v>0</v>
      </c>
      <c r="P876" s="116">
        <f>SUM(M876:O876)</f>
        <v>0</v>
      </c>
      <c r="Q876" s="106"/>
    </row>
    <row r="877" spans="1:17" ht="12.75" customHeight="1">
      <c r="A877" s="113" t="s">
        <v>18</v>
      </c>
      <c r="B877" s="114">
        <v>13812</v>
      </c>
      <c r="C877" s="114"/>
      <c r="D877" s="114">
        <f>+B877+C877</f>
        <v>13812</v>
      </c>
      <c r="E877" s="114">
        <v>14102</v>
      </c>
      <c r="F877" s="114"/>
      <c r="G877" s="114"/>
      <c r="H877" s="114">
        <f>SUM(E877:G877)</f>
        <v>14102</v>
      </c>
      <c r="I877" s="43">
        <f>12560+191</f>
        <v>12751</v>
      </c>
      <c r="J877" s="43"/>
      <c r="K877" s="43"/>
      <c r="L877" s="78">
        <f>SUM(I877:K877)</f>
        <v>12751</v>
      </c>
      <c r="M877" s="114">
        <f t="shared" si="529"/>
        <v>1351</v>
      </c>
      <c r="N877" s="115">
        <f t="shared" si="529"/>
        <v>0</v>
      </c>
      <c r="O877" s="114">
        <f t="shared" si="529"/>
        <v>0</v>
      </c>
      <c r="P877" s="116">
        <f>SUM(M877:O877)</f>
        <v>1351</v>
      </c>
      <c r="Q877" s="106"/>
    </row>
    <row r="878" spans="1:17" ht="12.75" customHeight="1">
      <c r="A878" s="113" t="s">
        <v>19</v>
      </c>
      <c r="B878" s="102">
        <f>SUM(B879:B880)</f>
        <v>0</v>
      </c>
      <c r="C878" s="102">
        <f>SUM(C879:C880)</f>
        <v>0</v>
      </c>
      <c r="D878" s="102">
        <f>SUM(D879:D880)</f>
        <v>0</v>
      </c>
      <c r="E878" s="102">
        <f t="shared" ref="E878:P878" si="530">SUM(E879:E880)</f>
        <v>0</v>
      </c>
      <c r="F878" s="102">
        <f t="shared" si="530"/>
        <v>0</v>
      </c>
      <c r="G878" s="102">
        <f t="shared" si="530"/>
        <v>0</v>
      </c>
      <c r="H878" s="102">
        <f t="shared" si="530"/>
        <v>0</v>
      </c>
      <c r="I878" s="45">
        <f>SUM(I879:I880)</f>
        <v>0</v>
      </c>
      <c r="J878" s="45">
        <f>SUM(J879:J880)</f>
        <v>0</v>
      </c>
      <c r="K878" s="45">
        <f>SUM(K879:K880)</f>
        <v>0</v>
      </c>
      <c r="L878" s="103">
        <f>SUM(L879:L880)</f>
        <v>0</v>
      </c>
      <c r="M878" s="102">
        <f t="shared" si="530"/>
        <v>0</v>
      </c>
      <c r="N878" s="104">
        <f t="shared" si="530"/>
        <v>0</v>
      </c>
      <c r="O878" s="102">
        <f t="shared" si="530"/>
        <v>0</v>
      </c>
      <c r="P878" s="105">
        <f t="shared" si="530"/>
        <v>0</v>
      </c>
      <c r="Q878" s="106"/>
    </row>
    <row r="879" spans="1:17" ht="12.75" customHeight="1">
      <c r="A879" s="113" t="s">
        <v>20</v>
      </c>
      <c r="B879" s="114"/>
      <c r="C879" s="114"/>
      <c r="D879" s="114">
        <f>+B879+C879</f>
        <v>0</v>
      </c>
      <c r="E879" s="114"/>
      <c r="F879" s="114"/>
      <c r="G879" s="114"/>
      <c r="H879" s="114">
        <f>SUM(E879:G879)</f>
        <v>0</v>
      </c>
      <c r="I879" s="43"/>
      <c r="J879" s="43"/>
      <c r="K879" s="43"/>
      <c r="L879" s="78">
        <f>SUM(I879:K879)</f>
        <v>0</v>
      </c>
      <c r="M879" s="114">
        <f t="shared" ref="M879:O880" si="531">+E879-I879</f>
        <v>0</v>
      </c>
      <c r="N879" s="115">
        <f t="shared" si="531"/>
        <v>0</v>
      </c>
      <c r="O879" s="114">
        <f t="shared" si="531"/>
        <v>0</v>
      </c>
      <c r="P879" s="116">
        <f>SUM(M879:O879)</f>
        <v>0</v>
      </c>
      <c r="Q879" s="106"/>
    </row>
    <row r="880" spans="1:17" ht="12.75" customHeight="1">
      <c r="A880" s="113" t="s">
        <v>21</v>
      </c>
      <c r="B880" s="114"/>
      <c r="C880" s="114"/>
      <c r="D880" s="114">
        <f>+B880+C880</f>
        <v>0</v>
      </c>
      <c r="E880" s="114"/>
      <c r="F880" s="114"/>
      <c r="G880" s="114"/>
      <c r="H880" s="114">
        <f>SUM(E880:G880)</f>
        <v>0</v>
      </c>
      <c r="I880" s="43"/>
      <c r="J880" s="43"/>
      <c r="K880" s="43"/>
      <c r="L880" s="78">
        <f>SUM(I880:K880)</f>
        <v>0</v>
      </c>
      <c r="M880" s="114">
        <f t="shared" si="531"/>
        <v>0</v>
      </c>
      <c r="N880" s="115">
        <f t="shared" si="531"/>
        <v>0</v>
      </c>
      <c r="O880" s="114">
        <f t="shared" si="531"/>
        <v>0</v>
      </c>
      <c r="P880" s="116">
        <f>SUM(M880:O880)</f>
        <v>0</v>
      </c>
      <c r="Q880" s="106"/>
    </row>
    <row r="881" spans="1:17" ht="12.75" customHeight="1">
      <c r="A881" s="127"/>
      <c r="B881" s="137"/>
      <c r="C881" s="137"/>
      <c r="D881" s="137"/>
      <c r="E881" s="114"/>
      <c r="F881" s="114"/>
      <c r="G881" s="114"/>
      <c r="H881" s="114"/>
      <c r="I881" s="63"/>
      <c r="J881" s="63"/>
      <c r="K881" s="63"/>
      <c r="L881" s="79"/>
      <c r="M881" s="114"/>
      <c r="N881" s="115"/>
      <c r="O881" s="114"/>
      <c r="P881" s="116"/>
      <c r="Q881" s="106"/>
    </row>
    <row r="882" spans="1:17" ht="12.75" customHeight="1">
      <c r="A882" s="120" t="s">
        <v>318</v>
      </c>
      <c r="B882" s="102">
        <f>+B883+B887</f>
        <v>405179</v>
      </c>
      <c r="C882" s="102">
        <f>+C883+C887</f>
        <v>0</v>
      </c>
      <c r="D882" s="102">
        <f>+D883+D887</f>
        <v>405179</v>
      </c>
      <c r="E882" s="102">
        <f t="shared" ref="E882:P882" si="532">+E883+E887</f>
        <v>302787</v>
      </c>
      <c r="F882" s="102">
        <f t="shared" si="532"/>
        <v>116200</v>
      </c>
      <c r="G882" s="102">
        <f t="shared" si="532"/>
        <v>44000</v>
      </c>
      <c r="H882" s="102">
        <f t="shared" si="532"/>
        <v>462987</v>
      </c>
      <c r="I882" s="45">
        <f t="shared" si="532"/>
        <v>298393</v>
      </c>
      <c r="J882" s="45">
        <f t="shared" si="532"/>
        <v>89684</v>
      </c>
      <c r="K882" s="45">
        <f t="shared" si="532"/>
        <v>0</v>
      </c>
      <c r="L882" s="103">
        <f t="shared" si="532"/>
        <v>388077</v>
      </c>
      <c r="M882" s="102">
        <f t="shared" si="532"/>
        <v>4394</v>
      </c>
      <c r="N882" s="104">
        <f t="shared" si="532"/>
        <v>26516</v>
      </c>
      <c r="O882" s="102">
        <f t="shared" si="532"/>
        <v>44000</v>
      </c>
      <c r="P882" s="105">
        <f t="shared" si="532"/>
        <v>74910</v>
      </c>
      <c r="Q882" s="106">
        <f>+L882/H882</f>
        <v>0.83820280051059748</v>
      </c>
    </row>
    <row r="883" spans="1:17" ht="12.75" customHeight="1">
      <c r="A883" s="127" t="s">
        <v>15</v>
      </c>
      <c r="B883" s="108">
        <f>SUM(B884:B886)</f>
        <v>405179</v>
      </c>
      <c r="C883" s="108">
        <f>SUM(C884:C886)</f>
        <v>0</v>
      </c>
      <c r="D883" s="108">
        <f>SUM(D884:D886)</f>
        <v>405179</v>
      </c>
      <c r="E883" s="108">
        <f t="shared" ref="E883:P883" si="533">SUM(E884:E886)</f>
        <v>302787</v>
      </c>
      <c r="F883" s="108">
        <f t="shared" si="533"/>
        <v>116200</v>
      </c>
      <c r="G883" s="108">
        <f t="shared" si="533"/>
        <v>44000</v>
      </c>
      <c r="H883" s="108">
        <f t="shared" si="533"/>
        <v>462987</v>
      </c>
      <c r="I883" s="109">
        <f>SUM(I884:I886)</f>
        <v>298393</v>
      </c>
      <c r="J883" s="109">
        <f>SUM(J884:J886)</f>
        <v>89684</v>
      </c>
      <c r="K883" s="109">
        <f>SUM(K884:K886)</f>
        <v>0</v>
      </c>
      <c r="L883" s="110">
        <f>SUM(L884:L886)</f>
        <v>388077</v>
      </c>
      <c r="M883" s="108">
        <f t="shared" si="533"/>
        <v>4394</v>
      </c>
      <c r="N883" s="111">
        <f t="shared" si="533"/>
        <v>26516</v>
      </c>
      <c r="O883" s="108">
        <f t="shared" si="533"/>
        <v>44000</v>
      </c>
      <c r="P883" s="112">
        <f t="shared" si="533"/>
        <v>74910</v>
      </c>
      <c r="Q883" s="106"/>
    </row>
    <row r="884" spans="1:17" ht="12.75" customHeight="1">
      <c r="A884" s="113" t="s">
        <v>16</v>
      </c>
      <c r="B884" s="114">
        <v>381279</v>
      </c>
      <c r="C884" s="114"/>
      <c r="D884" s="114">
        <f>+B884+C884</f>
        <v>381279</v>
      </c>
      <c r="E884" s="114">
        <v>265079</v>
      </c>
      <c r="F884" s="114">
        <v>116200</v>
      </c>
      <c r="G884" s="114">
        <v>44000</v>
      </c>
      <c r="H884" s="114">
        <f>SUM(E884:G884)</f>
        <v>425279</v>
      </c>
      <c r="I884" s="43">
        <v>262195</v>
      </c>
      <c r="J884" s="43">
        <v>89684</v>
      </c>
      <c r="K884" s="43"/>
      <c r="L884" s="78">
        <f>SUM(I884:K884)</f>
        <v>351879</v>
      </c>
      <c r="M884" s="114">
        <f t="shared" ref="M884:O886" si="534">+E884-I884</f>
        <v>2884</v>
      </c>
      <c r="N884" s="115">
        <f t="shared" si="534"/>
        <v>26516</v>
      </c>
      <c r="O884" s="114">
        <f t="shared" si="534"/>
        <v>44000</v>
      </c>
      <c r="P884" s="116">
        <f>SUM(M884:O884)</f>
        <v>73400</v>
      </c>
      <c r="Q884" s="106"/>
    </row>
    <row r="885" spans="1:17" ht="12.75" customHeight="1">
      <c r="A885" s="113" t="s">
        <v>17</v>
      </c>
      <c r="B885" s="114"/>
      <c r="C885" s="114"/>
      <c r="D885" s="114">
        <f>+B885+C885</f>
        <v>0</v>
      </c>
      <c r="E885" s="114">
        <v>13609</v>
      </c>
      <c r="F885" s="114"/>
      <c r="G885" s="114"/>
      <c r="H885" s="114">
        <f>SUM(E885:G885)</f>
        <v>13609</v>
      </c>
      <c r="I885" s="43">
        <v>13213</v>
      </c>
      <c r="J885" s="43"/>
      <c r="K885" s="43"/>
      <c r="L885" s="78">
        <f>SUM(I885:K885)</f>
        <v>13213</v>
      </c>
      <c r="M885" s="114">
        <f t="shared" si="534"/>
        <v>396</v>
      </c>
      <c r="N885" s="115">
        <f t="shared" si="534"/>
        <v>0</v>
      </c>
      <c r="O885" s="114">
        <f t="shared" si="534"/>
        <v>0</v>
      </c>
      <c r="P885" s="116">
        <f>SUM(M885:O885)</f>
        <v>396</v>
      </c>
      <c r="Q885" s="106"/>
    </row>
    <row r="886" spans="1:17" ht="12.75" customHeight="1">
      <c r="A886" s="113" t="s">
        <v>18</v>
      </c>
      <c r="B886" s="114">
        <v>23900</v>
      </c>
      <c r="C886" s="114"/>
      <c r="D886" s="114">
        <f>+B886+C886</f>
        <v>23900</v>
      </c>
      <c r="E886" s="114">
        <v>24099</v>
      </c>
      <c r="F886" s="114"/>
      <c r="G886" s="114"/>
      <c r="H886" s="114">
        <f>SUM(E886:G886)</f>
        <v>24099</v>
      </c>
      <c r="I886" s="43">
        <v>22985</v>
      </c>
      <c r="J886" s="43"/>
      <c r="K886" s="43"/>
      <c r="L886" s="78">
        <f>SUM(I886:K886)</f>
        <v>22985</v>
      </c>
      <c r="M886" s="114">
        <f t="shared" si="534"/>
        <v>1114</v>
      </c>
      <c r="N886" s="115">
        <f t="shared" si="534"/>
        <v>0</v>
      </c>
      <c r="O886" s="114">
        <f t="shared" si="534"/>
        <v>0</v>
      </c>
      <c r="P886" s="116">
        <f>SUM(M886:O886)</f>
        <v>1114</v>
      </c>
      <c r="Q886" s="106"/>
    </row>
    <row r="887" spans="1:17" ht="12.75" customHeight="1">
      <c r="A887" s="113" t="s">
        <v>19</v>
      </c>
      <c r="B887" s="102">
        <f>SUM(B888:B889)</f>
        <v>0</v>
      </c>
      <c r="C887" s="102">
        <f>SUM(C888:C889)</f>
        <v>0</v>
      </c>
      <c r="D887" s="102">
        <f>SUM(D888:D889)</f>
        <v>0</v>
      </c>
      <c r="E887" s="102">
        <f t="shared" ref="E887:P887" si="535">SUM(E888:E889)</f>
        <v>0</v>
      </c>
      <c r="F887" s="102">
        <f t="shared" si="535"/>
        <v>0</v>
      </c>
      <c r="G887" s="102">
        <f t="shared" si="535"/>
        <v>0</v>
      </c>
      <c r="H887" s="102">
        <f t="shared" si="535"/>
        <v>0</v>
      </c>
      <c r="I887" s="45">
        <f>SUM(I888:I889)</f>
        <v>0</v>
      </c>
      <c r="J887" s="45">
        <f>SUM(J888:J889)</f>
        <v>0</v>
      </c>
      <c r="K887" s="45">
        <f>SUM(K888:K889)</f>
        <v>0</v>
      </c>
      <c r="L887" s="103">
        <f>SUM(L888:L889)</f>
        <v>0</v>
      </c>
      <c r="M887" s="102">
        <f t="shared" si="535"/>
        <v>0</v>
      </c>
      <c r="N887" s="104">
        <f t="shared" si="535"/>
        <v>0</v>
      </c>
      <c r="O887" s="102">
        <f t="shared" si="535"/>
        <v>0</v>
      </c>
      <c r="P887" s="105">
        <f t="shared" si="535"/>
        <v>0</v>
      </c>
      <c r="Q887" s="106"/>
    </row>
    <row r="888" spans="1:17" ht="12.75" customHeight="1">
      <c r="A888" s="113" t="s">
        <v>20</v>
      </c>
      <c r="B888" s="114"/>
      <c r="C888" s="114">
        <f>+H888</f>
        <v>0</v>
      </c>
      <c r="D888" s="114">
        <f>+B888+C888</f>
        <v>0</v>
      </c>
      <c r="E888" s="114"/>
      <c r="F888" s="114">
        <f>+J888</f>
        <v>0</v>
      </c>
      <c r="G888" s="114">
        <f>+K888</f>
        <v>0</v>
      </c>
      <c r="H888" s="114">
        <f>SUM(E888:G888)</f>
        <v>0</v>
      </c>
      <c r="I888" s="43"/>
      <c r="J888" s="43"/>
      <c r="K888" s="43"/>
      <c r="L888" s="78">
        <f>SUM(I888:K888)</f>
        <v>0</v>
      </c>
      <c r="M888" s="114">
        <f t="shared" ref="M888:O889" si="536">+E888-I888</f>
        <v>0</v>
      </c>
      <c r="N888" s="115">
        <f t="shared" si="536"/>
        <v>0</v>
      </c>
      <c r="O888" s="114">
        <f t="shared" si="536"/>
        <v>0</v>
      </c>
      <c r="P888" s="116">
        <f>SUM(M888:O888)</f>
        <v>0</v>
      </c>
      <c r="Q888" s="106"/>
    </row>
    <row r="889" spans="1:17" ht="12.75" customHeight="1">
      <c r="A889" s="113" t="s">
        <v>21</v>
      </c>
      <c r="B889" s="114"/>
      <c r="C889" s="114"/>
      <c r="D889" s="114">
        <f>+B889+C889</f>
        <v>0</v>
      </c>
      <c r="E889" s="114"/>
      <c r="F889" s="114"/>
      <c r="G889" s="114"/>
      <c r="H889" s="114">
        <f>SUM(E889:G889)</f>
        <v>0</v>
      </c>
      <c r="I889" s="43"/>
      <c r="J889" s="43"/>
      <c r="K889" s="43"/>
      <c r="L889" s="78">
        <f>SUM(I889:K889)</f>
        <v>0</v>
      </c>
      <c r="M889" s="114">
        <f t="shared" si="536"/>
        <v>0</v>
      </c>
      <c r="N889" s="115">
        <f t="shared" si="536"/>
        <v>0</v>
      </c>
      <c r="O889" s="114">
        <f t="shared" si="536"/>
        <v>0</v>
      </c>
      <c r="P889" s="116">
        <f>SUM(M889:O889)</f>
        <v>0</v>
      </c>
      <c r="Q889" s="106"/>
    </row>
    <row r="890" spans="1:17" ht="12.75" customHeight="1">
      <c r="A890" s="121"/>
      <c r="B890" s="122"/>
      <c r="C890" s="122"/>
      <c r="D890" s="122"/>
      <c r="E890" s="114"/>
      <c r="F890" s="114"/>
      <c r="G890" s="114"/>
      <c r="H890" s="114"/>
      <c r="I890" s="43"/>
      <c r="J890" s="43"/>
      <c r="K890" s="43"/>
      <c r="L890" s="78"/>
      <c r="M890" s="114"/>
      <c r="N890" s="115"/>
      <c r="O890" s="114"/>
      <c r="P890" s="116"/>
      <c r="Q890" s="106"/>
    </row>
    <row r="891" spans="1:17" ht="12.75" customHeight="1">
      <c r="A891" s="120" t="s">
        <v>319</v>
      </c>
      <c r="B891" s="102">
        <f>+B892+B896</f>
        <v>92606</v>
      </c>
      <c r="C891" s="102">
        <f>+C892+C896</f>
        <v>13854</v>
      </c>
      <c r="D891" s="102">
        <f>+D892+D896</f>
        <v>106460</v>
      </c>
      <c r="E891" s="102">
        <f t="shared" ref="E891:P891" si="537">+E892+E896</f>
        <v>71489</v>
      </c>
      <c r="F891" s="102">
        <f t="shared" si="537"/>
        <v>22358</v>
      </c>
      <c r="G891" s="102">
        <f t="shared" si="537"/>
        <v>12715</v>
      </c>
      <c r="H891" s="102">
        <f t="shared" si="537"/>
        <v>106562</v>
      </c>
      <c r="I891" s="45">
        <f t="shared" si="537"/>
        <v>71429</v>
      </c>
      <c r="J891" s="45">
        <f t="shared" si="537"/>
        <v>22348</v>
      </c>
      <c r="K891" s="45">
        <f t="shared" si="537"/>
        <v>1226</v>
      </c>
      <c r="L891" s="103">
        <f t="shared" si="537"/>
        <v>95003</v>
      </c>
      <c r="M891" s="102">
        <f t="shared" si="537"/>
        <v>60</v>
      </c>
      <c r="N891" s="104">
        <f t="shared" si="537"/>
        <v>10</v>
      </c>
      <c r="O891" s="102">
        <f t="shared" si="537"/>
        <v>11489</v>
      </c>
      <c r="P891" s="105">
        <f t="shared" si="537"/>
        <v>11559</v>
      </c>
      <c r="Q891" s="106">
        <f>+L891/H891</f>
        <v>0.89152793678797315</v>
      </c>
    </row>
    <row r="892" spans="1:17" ht="12.75" customHeight="1">
      <c r="A892" s="127" t="s">
        <v>15</v>
      </c>
      <c r="B892" s="108">
        <f>SUM(B893:B895)</f>
        <v>92606</v>
      </c>
      <c r="C892" s="108">
        <f>SUM(C893:C895)</f>
        <v>13854</v>
      </c>
      <c r="D892" s="108">
        <f>SUM(D893:D895)</f>
        <v>106460</v>
      </c>
      <c r="E892" s="108">
        <f t="shared" ref="E892:P892" si="538">SUM(E893:E895)</f>
        <v>71489</v>
      </c>
      <c r="F892" s="108">
        <f t="shared" si="538"/>
        <v>22358</v>
      </c>
      <c r="G892" s="108">
        <f t="shared" si="538"/>
        <v>12715</v>
      </c>
      <c r="H892" s="108">
        <f t="shared" si="538"/>
        <v>106562</v>
      </c>
      <c r="I892" s="109">
        <f>SUM(I893:I895)</f>
        <v>71429</v>
      </c>
      <c r="J892" s="109">
        <f>SUM(J893:J895)</f>
        <v>22348</v>
      </c>
      <c r="K892" s="109">
        <f>SUM(K893:K895)</f>
        <v>1226</v>
      </c>
      <c r="L892" s="110">
        <f>SUM(L893:L895)</f>
        <v>95003</v>
      </c>
      <c r="M892" s="108">
        <f t="shared" si="538"/>
        <v>60</v>
      </c>
      <c r="N892" s="111">
        <f t="shared" si="538"/>
        <v>10</v>
      </c>
      <c r="O892" s="108">
        <f t="shared" si="538"/>
        <v>11489</v>
      </c>
      <c r="P892" s="112">
        <f t="shared" si="538"/>
        <v>11559</v>
      </c>
      <c r="Q892" s="106"/>
    </row>
    <row r="893" spans="1:17" ht="12.75" customHeight="1">
      <c r="A893" s="113" t="s">
        <v>16</v>
      </c>
      <c r="B893" s="114">
        <v>86818</v>
      </c>
      <c r="C893" s="114"/>
      <c r="D893" s="114">
        <f>+B893+C893</f>
        <v>86818</v>
      </c>
      <c r="E893" s="114">
        <v>61437</v>
      </c>
      <c r="F893" s="114">
        <v>22358</v>
      </c>
      <c r="G893" s="114">
        <v>3023</v>
      </c>
      <c r="H893" s="114">
        <f>SUM(E893:G893)</f>
        <v>86818</v>
      </c>
      <c r="I893" s="43">
        <v>61435</v>
      </c>
      <c r="J893" s="43">
        <v>22348</v>
      </c>
      <c r="K893" s="43">
        <v>1226</v>
      </c>
      <c r="L893" s="78">
        <f>SUM(I893:K893)</f>
        <v>85009</v>
      </c>
      <c r="M893" s="114">
        <f t="shared" ref="M893:O895" si="539">+E893-I893</f>
        <v>2</v>
      </c>
      <c r="N893" s="115">
        <f t="shared" si="539"/>
        <v>10</v>
      </c>
      <c r="O893" s="114">
        <f t="shared" si="539"/>
        <v>1797</v>
      </c>
      <c r="P893" s="116">
        <f>SUM(M893:O893)</f>
        <v>1809</v>
      </c>
      <c r="Q893" s="106"/>
    </row>
    <row r="894" spans="1:17" ht="12.75" customHeight="1">
      <c r="A894" s="113" t="s">
        <v>17</v>
      </c>
      <c r="B894" s="114"/>
      <c r="C894" s="114">
        <f>+H894</f>
        <v>13854</v>
      </c>
      <c r="D894" s="114">
        <f>+B894+C894</f>
        <v>13854</v>
      </c>
      <c r="E894" s="114">
        <v>4162</v>
      </c>
      <c r="F894" s="114"/>
      <c r="G894" s="114">
        <v>9692</v>
      </c>
      <c r="H894" s="114">
        <f>SUM(E894:G894)</f>
        <v>13854</v>
      </c>
      <c r="I894" s="43">
        <f>4241-79</f>
        <v>4162</v>
      </c>
      <c r="J894" s="43"/>
      <c r="K894" s="43"/>
      <c r="L894" s="78">
        <f>SUM(I894:K894)</f>
        <v>4162</v>
      </c>
      <c r="M894" s="114">
        <f t="shared" si="539"/>
        <v>0</v>
      </c>
      <c r="N894" s="115">
        <f t="shared" si="539"/>
        <v>0</v>
      </c>
      <c r="O894" s="114">
        <f t="shared" si="539"/>
        <v>9692</v>
      </c>
      <c r="P894" s="116">
        <f>SUM(M894:O894)</f>
        <v>9692</v>
      </c>
      <c r="Q894" s="106"/>
    </row>
    <row r="895" spans="1:17" ht="12.75" customHeight="1">
      <c r="A895" s="113" t="s">
        <v>18</v>
      </c>
      <c r="B895" s="114">
        <v>5788</v>
      </c>
      <c r="C895" s="114"/>
      <c r="D895" s="114">
        <f>+B895+C895</f>
        <v>5788</v>
      </c>
      <c r="E895" s="114">
        <v>5890</v>
      </c>
      <c r="F895" s="114"/>
      <c r="G895" s="114"/>
      <c r="H895" s="114">
        <f>SUM(E895:G895)</f>
        <v>5890</v>
      </c>
      <c r="I895" s="43">
        <f>5753+79</f>
        <v>5832</v>
      </c>
      <c r="J895" s="43"/>
      <c r="K895" s="43"/>
      <c r="L895" s="78">
        <f>SUM(I895:K895)</f>
        <v>5832</v>
      </c>
      <c r="M895" s="114">
        <f t="shared" si="539"/>
        <v>58</v>
      </c>
      <c r="N895" s="115">
        <f t="shared" si="539"/>
        <v>0</v>
      </c>
      <c r="O895" s="114">
        <f t="shared" si="539"/>
        <v>0</v>
      </c>
      <c r="P895" s="116">
        <f>SUM(M895:O895)</f>
        <v>58</v>
      </c>
      <c r="Q895" s="106"/>
    </row>
    <row r="896" spans="1:17" ht="12.75" customHeight="1">
      <c r="A896" s="113" t="s">
        <v>19</v>
      </c>
      <c r="B896" s="102">
        <f>SUM(B897:B898)</f>
        <v>0</v>
      </c>
      <c r="C896" s="102">
        <f>SUM(C897:C898)</f>
        <v>0</v>
      </c>
      <c r="D896" s="102">
        <f>SUM(D897:D898)</f>
        <v>0</v>
      </c>
      <c r="E896" s="102">
        <f t="shared" ref="E896:P896" si="540">SUM(E897:E898)</f>
        <v>0</v>
      </c>
      <c r="F896" s="102">
        <f t="shared" si="540"/>
        <v>0</v>
      </c>
      <c r="G896" s="102">
        <f t="shared" si="540"/>
        <v>0</v>
      </c>
      <c r="H896" s="102">
        <f t="shared" si="540"/>
        <v>0</v>
      </c>
      <c r="I896" s="45">
        <f>SUM(I897:I898)</f>
        <v>0</v>
      </c>
      <c r="J896" s="45">
        <f>SUM(J897:J898)</f>
        <v>0</v>
      </c>
      <c r="K896" s="45">
        <f>SUM(K897:K898)</f>
        <v>0</v>
      </c>
      <c r="L896" s="103">
        <f>SUM(L897:L898)</f>
        <v>0</v>
      </c>
      <c r="M896" s="102">
        <f t="shared" si="540"/>
        <v>0</v>
      </c>
      <c r="N896" s="104">
        <f t="shared" si="540"/>
        <v>0</v>
      </c>
      <c r="O896" s="102">
        <f t="shared" si="540"/>
        <v>0</v>
      </c>
      <c r="P896" s="105">
        <f t="shared" si="540"/>
        <v>0</v>
      </c>
      <c r="Q896" s="106"/>
    </row>
    <row r="897" spans="1:17" ht="12.75" customHeight="1">
      <c r="A897" s="113" t="s">
        <v>20</v>
      </c>
      <c r="B897" s="114"/>
      <c r="C897" s="114">
        <f>+H897</f>
        <v>0</v>
      </c>
      <c r="D897" s="114">
        <f>+B897+C897</f>
        <v>0</v>
      </c>
      <c r="E897" s="114"/>
      <c r="F897" s="114">
        <f>+J897</f>
        <v>0</v>
      </c>
      <c r="G897" s="114">
        <f>+K897</f>
        <v>0</v>
      </c>
      <c r="H897" s="114">
        <f>SUM(E897:G897)</f>
        <v>0</v>
      </c>
      <c r="I897" s="43"/>
      <c r="J897" s="43"/>
      <c r="K897" s="43"/>
      <c r="L897" s="78">
        <f>SUM(I897:K897)</f>
        <v>0</v>
      </c>
      <c r="M897" s="114">
        <f t="shared" ref="M897:O898" si="541">+E897-I897</f>
        <v>0</v>
      </c>
      <c r="N897" s="115">
        <f t="shared" si="541"/>
        <v>0</v>
      </c>
      <c r="O897" s="114">
        <f t="shared" si="541"/>
        <v>0</v>
      </c>
      <c r="P897" s="116">
        <f>SUM(M897:O897)</f>
        <v>0</v>
      </c>
      <c r="Q897" s="106"/>
    </row>
    <row r="898" spans="1:17" ht="12.75" customHeight="1">
      <c r="A898" s="113" t="s">
        <v>21</v>
      </c>
      <c r="B898" s="114"/>
      <c r="C898" s="114">
        <f>+H898</f>
        <v>0</v>
      </c>
      <c r="D898" s="114">
        <f>+B898+C898</f>
        <v>0</v>
      </c>
      <c r="E898" s="114"/>
      <c r="F898" s="114"/>
      <c r="G898" s="114"/>
      <c r="H898" s="114">
        <f>SUM(E898:G898)</f>
        <v>0</v>
      </c>
      <c r="I898" s="43"/>
      <c r="J898" s="43"/>
      <c r="K898" s="43"/>
      <c r="L898" s="78">
        <f>SUM(I898:K898)</f>
        <v>0</v>
      </c>
      <c r="M898" s="114">
        <f t="shared" si="541"/>
        <v>0</v>
      </c>
      <c r="N898" s="115">
        <f t="shared" si="541"/>
        <v>0</v>
      </c>
      <c r="O898" s="114">
        <f t="shared" si="541"/>
        <v>0</v>
      </c>
      <c r="P898" s="116">
        <f>SUM(M898:O898)</f>
        <v>0</v>
      </c>
      <c r="Q898" s="106"/>
    </row>
    <row r="899" spans="1:17" ht="12.75" customHeight="1">
      <c r="A899" s="229"/>
      <c r="B899" s="230"/>
      <c r="C899" s="230"/>
      <c r="D899" s="230"/>
      <c r="E899" s="102"/>
      <c r="F899" s="102"/>
      <c r="G899" s="102"/>
      <c r="H899" s="102"/>
      <c r="I899" s="45"/>
      <c r="J899" s="45"/>
      <c r="K899" s="45"/>
      <c r="L899" s="103"/>
      <c r="M899" s="102"/>
      <c r="N899" s="104"/>
      <c r="O899" s="102"/>
      <c r="P899" s="105"/>
      <c r="Q899" s="227"/>
    </row>
    <row r="900" spans="1:17">
      <c r="A900" s="120" t="s">
        <v>320</v>
      </c>
      <c r="B900" s="102">
        <f>+B901+B905</f>
        <v>113816</v>
      </c>
      <c r="C900" s="102">
        <f>+C901+C905</f>
        <v>33021</v>
      </c>
      <c r="D900" s="102">
        <f>+D901+D905</f>
        <v>146837</v>
      </c>
      <c r="E900" s="102">
        <f t="shared" ref="E900:P900" si="542">+E901+E905</f>
        <v>91618</v>
      </c>
      <c r="F900" s="102">
        <f t="shared" si="542"/>
        <v>26720</v>
      </c>
      <c r="G900" s="102">
        <f t="shared" si="542"/>
        <v>28640</v>
      </c>
      <c r="H900" s="102">
        <f t="shared" si="542"/>
        <v>146978</v>
      </c>
      <c r="I900" s="45">
        <f t="shared" si="542"/>
        <v>91183</v>
      </c>
      <c r="J900" s="45">
        <f t="shared" si="542"/>
        <v>26346</v>
      </c>
      <c r="K900" s="45">
        <f t="shared" si="542"/>
        <v>1942</v>
      </c>
      <c r="L900" s="103">
        <f t="shared" si="542"/>
        <v>119471</v>
      </c>
      <c r="M900" s="102">
        <f t="shared" si="542"/>
        <v>435</v>
      </c>
      <c r="N900" s="104">
        <f t="shared" si="542"/>
        <v>374</v>
      </c>
      <c r="O900" s="102">
        <f t="shared" si="542"/>
        <v>26698</v>
      </c>
      <c r="P900" s="105">
        <f t="shared" si="542"/>
        <v>27507</v>
      </c>
      <c r="Q900" s="106">
        <f>+L900/H900</f>
        <v>0.8128495421083427</v>
      </c>
    </row>
    <row r="901" spans="1:17" ht="12.75" customHeight="1">
      <c r="A901" s="127" t="s">
        <v>15</v>
      </c>
      <c r="B901" s="108">
        <f>SUM(B902:B904)</f>
        <v>113816</v>
      </c>
      <c r="C901" s="108">
        <f>SUM(C902:C904)</f>
        <v>32755</v>
      </c>
      <c r="D901" s="108">
        <f>SUM(D902:D904)</f>
        <v>146571</v>
      </c>
      <c r="E901" s="108">
        <f t="shared" ref="E901:P901" si="543">SUM(E902:E904)</f>
        <v>91618</v>
      </c>
      <c r="F901" s="108">
        <f t="shared" si="543"/>
        <v>26720</v>
      </c>
      <c r="G901" s="108">
        <f t="shared" si="543"/>
        <v>28374</v>
      </c>
      <c r="H901" s="108">
        <f t="shared" si="543"/>
        <v>146712</v>
      </c>
      <c r="I901" s="109">
        <f>SUM(I902:I904)</f>
        <v>91183</v>
      </c>
      <c r="J901" s="109">
        <f>SUM(J902:J904)</f>
        <v>26346</v>
      </c>
      <c r="K901" s="109">
        <f>SUM(K902:K904)</f>
        <v>1685</v>
      </c>
      <c r="L901" s="110">
        <f>SUM(L902:L904)</f>
        <v>119214</v>
      </c>
      <c r="M901" s="108">
        <f t="shared" si="543"/>
        <v>435</v>
      </c>
      <c r="N901" s="111">
        <f t="shared" si="543"/>
        <v>374</v>
      </c>
      <c r="O901" s="108">
        <f t="shared" si="543"/>
        <v>26689</v>
      </c>
      <c r="P901" s="112">
        <f t="shared" si="543"/>
        <v>27498</v>
      </c>
      <c r="Q901" s="106"/>
    </row>
    <row r="902" spans="1:17" ht="12.75" customHeight="1">
      <c r="A902" s="113" t="s">
        <v>16</v>
      </c>
      <c r="B902" s="114">
        <v>106597</v>
      </c>
      <c r="C902" s="114"/>
      <c r="D902" s="114">
        <f>+B902+C902</f>
        <v>106597</v>
      </c>
      <c r="E902" s="114">
        <v>78654</v>
      </c>
      <c r="F902" s="114">
        <v>26720</v>
      </c>
      <c r="G902" s="114">
        <v>1223</v>
      </c>
      <c r="H902" s="114">
        <f>SUM(E902:G902)</f>
        <v>106597</v>
      </c>
      <c r="I902" s="43">
        <v>78654</v>
      </c>
      <c r="J902" s="43">
        <v>26346</v>
      </c>
      <c r="K902" s="43">
        <f>1685-462</f>
        <v>1223</v>
      </c>
      <c r="L902" s="78">
        <f>SUM(I902:K902)</f>
        <v>106223</v>
      </c>
      <c r="M902" s="114">
        <f t="shared" ref="M902:O904" si="544">+E902-I902</f>
        <v>0</v>
      </c>
      <c r="N902" s="115">
        <f t="shared" si="544"/>
        <v>374</v>
      </c>
      <c r="O902" s="114">
        <f t="shared" si="544"/>
        <v>0</v>
      </c>
      <c r="P902" s="116">
        <f>SUM(M902:O902)</f>
        <v>374</v>
      </c>
      <c r="Q902" s="106"/>
    </row>
    <row r="903" spans="1:17" ht="12.75" customHeight="1">
      <c r="A903" s="113" t="s">
        <v>17</v>
      </c>
      <c r="B903" s="114"/>
      <c r="C903" s="114">
        <f>+H903</f>
        <v>32755</v>
      </c>
      <c r="D903" s="114">
        <f>+B903+C903</f>
        <v>32755</v>
      </c>
      <c r="E903" s="114">
        <v>5604</v>
      </c>
      <c r="F903" s="114"/>
      <c r="G903" s="114">
        <v>27151</v>
      </c>
      <c r="H903" s="114">
        <f>SUM(E903:G903)</f>
        <v>32755</v>
      </c>
      <c r="I903" s="43">
        <f>5743-139</f>
        <v>5604</v>
      </c>
      <c r="J903" s="43"/>
      <c r="K903" s="43">
        <v>462</v>
      </c>
      <c r="L903" s="78">
        <f>SUM(I903:K903)</f>
        <v>6066</v>
      </c>
      <c r="M903" s="143">
        <f t="shared" si="544"/>
        <v>0</v>
      </c>
      <c r="N903" s="115">
        <f t="shared" si="544"/>
        <v>0</v>
      </c>
      <c r="O903" s="114">
        <f t="shared" si="544"/>
        <v>26689</v>
      </c>
      <c r="P903" s="116">
        <f>SUM(M903:O903)</f>
        <v>26689</v>
      </c>
      <c r="Q903" s="106"/>
    </row>
    <row r="904" spans="1:17" ht="12.75" customHeight="1">
      <c r="A904" s="113" t="s">
        <v>18</v>
      </c>
      <c r="B904" s="114">
        <v>7219</v>
      </c>
      <c r="C904" s="114"/>
      <c r="D904" s="114">
        <f>+B904+C904</f>
        <v>7219</v>
      </c>
      <c r="E904" s="114">
        <v>7360</v>
      </c>
      <c r="F904" s="114"/>
      <c r="G904" s="114"/>
      <c r="H904" s="114">
        <f>SUM(E904:G904)</f>
        <v>7360</v>
      </c>
      <c r="I904" s="43">
        <f>6786+139</f>
        <v>6925</v>
      </c>
      <c r="J904" s="43"/>
      <c r="K904" s="43"/>
      <c r="L904" s="78">
        <f>SUM(I904:K904)</f>
        <v>6925</v>
      </c>
      <c r="M904" s="114">
        <f t="shared" si="544"/>
        <v>435</v>
      </c>
      <c r="N904" s="115">
        <f t="shared" si="544"/>
        <v>0</v>
      </c>
      <c r="O904" s="114">
        <f t="shared" si="544"/>
        <v>0</v>
      </c>
      <c r="P904" s="116">
        <f>SUM(M904:O904)</f>
        <v>435</v>
      </c>
      <c r="Q904" s="106"/>
    </row>
    <row r="905" spans="1:17" ht="12.75" customHeight="1">
      <c r="A905" s="113" t="s">
        <v>19</v>
      </c>
      <c r="B905" s="102">
        <f>SUM(B906:B907)</f>
        <v>0</v>
      </c>
      <c r="C905" s="102">
        <f>SUM(C906:C907)</f>
        <v>266</v>
      </c>
      <c r="D905" s="102">
        <f>SUM(D906:D907)</f>
        <v>266</v>
      </c>
      <c r="E905" s="102">
        <f t="shared" ref="E905:P905" si="545">SUM(E906:E907)</f>
        <v>0</v>
      </c>
      <c r="F905" s="102">
        <f t="shared" si="545"/>
        <v>0</v>
      </c>
      <c r="G905" s="102">
        <f t="shared" si="545"/>
        <v>266</v>
      </c>
      <c r="H905" s="102">
        <f t="shared" si="545"/>
        <v>266</v>
      </c>
      <c r="I905" s="45">
        <f>SUM(I906:I907)</f>
        <v>0</v>
      </c>
      <c r="J905" s="45">
        <f>SUM(J906:J907)</f>
        <v>0</v>
      </c>
      <c r="K905" s="45">
        <f>SUM(K906:K907)</f>
        <v>257</v>
      </c>
      <c r="L905" s="103">
        <f>SUM(L906:L907)</f>
        <v>257</v>
      </c>
      <c r="M905" s="102">
        <f t="shared" si="545"/>
        <v>0</v>
      </c>
      <c r="N905" s="104">
        <f t="shared" si="545"/>
        <v>0</v>
      </c>
      <c r="O905" s="102">
        <f t="shared" si="545"/>
        <v>9</v>
      </c>
      <c r="P905" s="105">
        <f t="shared" si="545"/>
        <v>9</v>
      </c>
      <c r="Q905" s="106"/>
    </row>
    <row r="906" spans="1:17" ht="12.75" customHeight="1">
      <c r="A906" s="113" t="s">
        <v>20</v>
      </c>
      <c r="B906" s="114"/>
      <c r="C906" s="114">
        <f>+H906</f>
        <v>266</v>
      </c>
      <c r="D906" s="114">
        <f>+B906+C906</f>
        <v>266</v>
      </c>
      <c r="E906" s="114"/>
      <c r="F906" s="114"/>
      <c r="G906" s="114">
        <v>266</v>
      </c>
      <c r="H906" s="114">
        <f>SUM(E906:G906)</f>
        <v>266</v>
      </c>
      <c r="I906" s="43"/>
      <c r="J906" s="43"/>
      <c r="K906" s="43">
        <v>257</v>
      </c>
      <c r="L906" s="78">
        <f>SUM(I906:K906)</f>
        <v>257</v>
      </c>
      <c r="M906" s="114">
        <f t="shared" ref="M906:O907" si="546">+E906-I906</f>
        <v>0</v>
      </c>
      <c r="N906" s="115">
        <f t="shared" si="546"/>
        <v>0</v>
      </c>
      <c r="O906" s="114">
        <f t="shared" si="546"/>
        <v>9</v>
      </c>
      <c r="P906" s="116">
        <f>SUM(M906:O906)</f>
        <v>9</v>
      </c>
      <c r="Q906" s="106"/>
    </row>
    <row r="907" spans="1:17" ht="12.75" customHeight="1">
      <c r="A907" s="113" t="s">
        <v>21</v>
      </c>
      <c r="B907" s="114"/>
      <c r="C907" s="114">
        <f>+H907</f>
        <v>0</v>
      </c>
      <c r="D907" s="114">
        <f>+B907+C907</f>
        <v>0</v>
      </c>
      <c r="E907" s="114"/>
      <c r="F907" s="114"/>
      <c r="G907" s="114"/>
      <c r="H907" s="114">
        <f>SUM(E907:G907)</f>
        <v>0</v>
      </c>
      <c r="I907" s="43"/>
      <c r="J907" s="43"/>
      <c r="K907" s="43"/>
      <c r="L907" s="78">
        <f>SUM(I907:K907)</f>
        <v>0</v>
      </c>
      <c r="M907" s="114">
        <f t="shared" si="546"/>
        <v>0</v>
      </c>
      <c r="N907" s="115">
        <f t="shared" si="546"/>
        <v>0</v>
      </c>
      <c r="O907" s="114">
        <f t="shared" si="546"/>
        <v>0</v>
      </c>
      <c r="P907" s="116">
        <f>SUM(M907:O907)</f>
        <v>0</v>
      </c>
      <c r="Q907" s="106"/>
    </row>
    <row r="908" spans="1:17" ht="12.75" customHeight="1">
      <c r="A908" s="121"/>
      <c r="B908" s="122"/>
      <c r="C908" s="122"/>
      <c r="D908" s="122"/>
      <c r="E908" s="114"/>
      <c r="F908" s="114"/>
      <c r="G908" s="114"/>
      <c r="H908" s="114"/>
      <c r="I908" s="43"/>
      <c r="J908" s="43"/>
      <c r="K908" s="43"/>
      <c r="L908" s="78"/>
      <c r="M908" s="114"/>
      <c r="N908" s="115"/>
      <c r="O908" s="114"/>
      <c r="P908" s="116"/>
      <c r="Q908" s="106"/>
    </row>
    <row r="909" spans="1:17" ht="12.75" customHeight="1">
      <c r="A909" s="120" t="s">
        <v>321</v>
      </c>
      <c r="B909" s="102">
        <f>+B910+B914</f>
        <v>63814</v>
      </c>
      <c r="C909" s="102">
        <f>+C910+C914</f>
        <v>0</v>
      </c>
      <c r="D909" s="102">
        <f>+D910+D914</f>
        <v>63814</v>
      </c>
      <c r="E909" s="102">
        <f t="shared" ref="E909:P909" si="547">+E910+E914</f>
        <v>45376</v>
      </c>
      <c r="F909" s="102">
        <f t="shared" si="547"/>
        <v>20736</v>
      </c>
      <c r="G909" s="102">
        <f t="shared" si="547"/>
        <v>223</v>
      </c>
      <c r="H909" s="102">
        <f t="shared" si="547"/>
        <v>66335</v>
      </c>
      <c r="I909" s="45">
        <f t="shared" si="547"/>
        <v>45375</v>
      </c>
      <c r="J909" s="45">
        <f t="shared" si="547"/>
        <v>8616</v>
      </c>
      <c r="K909" s="45">
        <f t="shared" si="547"/>
        <v>223</v>
      </c>
      <c r="L909" s="103">
        <f t="shared" si="547"/>
        <v>54214</v>
      </c>
      <c r="M909" s="102">
        <f t="shared" si="547"/>
        <v>1</v>
      </c>
      <c r="N909" s="104">
        <f t="shared" si="547"/>
        <v>12120</v>
      </c>
      <c r="O909" s="102">
        <f t="shared" si="547"/>
        <v>0</v>
      </c>
      <c r="P909" s="105">
        <f t="shared" si="547"/>
        <v>12121</v>
      </c>
      <c r="Q909" s="106">
        <f>+L909/H909</f>
        <v>0.8172759478405065</v>
      </c>
    </row>
    <row r="910" spans="1:17" ht="12.75" customHeight="1">
      <c r="A910" s="127" t="s">
        <v>15</v>
      </c>
      <c r="B910" s="108">
        <f>SUM(B911:B913)</f>
        <v>63814</v>
      </c>
      <c r="C910" s="108">
        <f>SUM(C911:C913)</f>
        <v>0</v>
      </c>
      <c r="D910" s="108">
        <f>SUM(D911:D913)</f>
        <v>63814</v>
      </c>
      <c r="E910" s="108">
        <f t="shared" ref="E910:P910" si="548">SUM(E911:E913)</f>
        <v>45376</v>
      </c>
      <c r="F910" s="108">
        <f t="shared" si="548"/>
        <v>20736</v>
      </c>
      <c r="G910" s="108">
        <f t="shared" si="548"/>
        <v>223</v>
      </c>
      <c r="H910" s="108">
        <f t="shared" si="548"/>
        <v>66335</v>
      </c>
      <c r="I910" s="109">
        <f>SUM(I911:I913)</f>
        <v>45375</v>
      </c>
      <c r="J910" s="109">
        <f>SUM(J911:J913)</f>
        <v>8616</v>
      </c>
      <c r="K910" s="109">
        <f>SUM(K911:K913)</f>
        <v>223</v>
      </c>
      <c r="L910" s="110">
        <f>SUM(L911:L913)</f>
        <v>54214</v>
      </c>
      <c r="M910" s="108">
        <f t="shared" si="548"/>
        <v>1</v>
      </c>
      <c r="N910" s="111">
        <f t="shared" si="548"/>
        <v>12120</v>
      </c>
      <c r="O910" s="108">
        <f t="shared" si="548"/>
        <v>0</v>
      </c>
      <c r="P910" s="112">
        <f t="shared" si="548"/>
        <v>12121</v>
      </c>
      <c r="Q910" s="106"/>
    </row>
    <row r="911" spans="1:17" ht="12.75" customHeight="1">
      <c r="A911" s="113" t="s">
        <v>16</v>
      </c>
      <c r="B911" s="114">
        <v>60106</v>
      </c>
      <c r="C911" s="114"/>
      <c r="D911" s="114">
        <f>+B911+C911</f>
        <v>60106</v>
      </c>
      <c r="E911" s="114">
        <v>39147</v>
      </c>
      <c r="F911" s="114">
        <v>20736</v>
      </c>
      <c r="G911" s="114">
        <v>223</v>
      </c>
      <c r="H911" s="114">
        <f>SUM(E911:G911)</f>
        <v>60106</v>
      </c>
      <c r="I911" s="43">
        <v>39147</v>
      </c>
      <c r="J911" s="43">
        <v>8616</v>
      </c>
      <c r="K911" s="43">
        <v>223</v>
      </c>
      <c r="L911" s="78">
        <f>SUM(I911:K911)</f>
        <v>47986</v>
      </c>
      <c r="M911" s="114">
        <f t="shared" ref="M911:O913" si="549">+E911-I911</f>
        <v>0</v>
      </c>
      <c r="N911" s="115">
        <f t="shared" si="549"/>
        <v>12120</v>
      </c>
      <c r="O911" s="114">
        <f t="shared" si="549"/>
        <v>0</v>
      </c>
      <c r="P911" s="116">
        <f>SUM(M911:O911)</f>
        <v>12120</v>
      </c>
      <c r="Q911" s="106"/>
    </row>
    <row r="912" spans="1:17" ht="12.75" customHeight="1">
      <c r="A912" s="113" t="s">
        <v>17</v>
      </c>
      <c r="B912" s="114"/>
      <c r="C912" s="114"/>
      <c r="D912" s="114">
        <f>+B912+C912</f>
        <v>0</v>
      </c>
      <c r="E912" s="114">
        <v>2373</v>
      </c>
      <c r="F912" s="114"/>
      <c r="G912" s="114"/>
      <c r="H912" s="114">
        <f>SUM(E912:G912)</f>
        <v>2373</v>
      </c>
      <c r="I912" s="43">
        <v>2372</v>
      </c>
      <c r="J912" s="43"/>
      <c r="K912" s="43"/>
      <c r="L912" s="78">
        <f>SUM(I912:K912)</f>
        <v>2372</v>
      </c>
      <c r="M912" s="114">
        <f t="shared" si="549"/>
        <v>1</v>
      </c>
      <c r="N912" s="115">
        <f t="shared" si="549"/>
        <v>0</v>
      </c>
      <c r="O912" s="114">
        <f t="shared" si="549"/>
        <v>0</v>
      </c>
      <c r="P912" s="116">
        <f>SUM(M912:O912)</f>
        <v>1</v>
      </c>
      <c r="Q912" s="106"/>
    </row>
    <row r="913" spans="1:18" ht="12.75" customHeight="1">
      <c r="A913" s="113" t="s">
        <v>18</v>
      </c>
      <c r="B913" s="114">
        <v>3708</v>
      </c>
      <c r="C913" s="114"/>
      <c r="D913" s="114">
        <f>+B913+C913</f>
        <v>3708</v>
      </c>
      <c r="E913" s="114">
        <v>3856</v>
      </c>
      <c r="F913" s="114"/>
      <c r="G913" s="114"/>
      <c r="H913" s="114">
        <f>SUM(E913:G913)</f>
        <v>3856</v>
      </c>
      <c r="I913" s="43">
        <v>3856</v>
      </c>
      <c r="J913" s="43"/>
      <c r="K913" s="43"/>
      <c r="L913" s="78">
        <f>SUM(I913:K913)</f>
        <v>3856</v>
      </c>
      <c r="M913" s="114">
        <f t="shared" si="549"/>
        <v>0</v>
      </c>
      <c r="N913" s="115">
        <f t="shared" si="549"/>
        <v>0</v>
      </c>
      <c r="O913" s="114">
        <f t="shared" si="549"/>
        <v>0</v>
      </c>
      <c r="P913" s="116">
        <f>SUM(M913:O913)</f>
        <v>0</v>
      </c>
      <c r="Q913" s="106"/>
    </row>
    <row r="914" spans="1:18" ht="12.75" customHeight="1">
      <c r="A914" s="113" t="s">
        <v>19</v>
      </c>
      <c r="B914" s="102">
        <f>SUM(B915:B916)</f>
        <v>0</v>
      </c>
      <c r="C914" s="102">
        <f>SUM(C915:C916)</f>
        <v>0</v>
      </c>
      <c r="D914" s="102">
        <f>SUM(D915:D916)</f>
        <v>0</v>
      </c>
      <c r="E914" s="102">
        <f t="shared" ref="E914:P914" si="550">SUM(E915:E916)</f>
        <v>0</v>
      </c>
      <c r="F914" s="102">
        <f t="shared" si="550"/>
        <v>0</v>
      </c>
      <c r="G914" s="102">
        <f t="shared" si="550"/>
        <v>0</v>
      </c>
      <c r="H914" s="102">
        <f t="shared" si="550"/>
        <v>0</v>
      </c>
      <c r="I914" s="45">
        <f>SUM(I915:I916)</f>
        <v>0</v>
      </c>
      <c r="J914" s="45">
        <f>SUM(J915:J916)</f>
        <v>0</v>
      </c>
      <c r="K914" s="45">
        <f>SUM(K915:K916)</f>
        <v>0</v>
      </c>
      <c r="L914" s="103">
        <f>SUM(L915:L916)</f>
        <v>0</v>
      </c>
      <c r="M914" s="102">
        <f t="shared" si="550"/>
        <v>0</v>
      </c>
      <c r="N914" s="104">
        <f t="shared" si="550"/>
        <v>0</v>
      </c>
      <c r="O914" s="102">
        <f t="shared" si="550"/>
        <v>0</v>
      </c>
      <c r="P914" s="105">
        <f t="shared" si="550"/>
        <v>0</v>
      </c>
      <c r="Q914" s="106"/>
    </row>
    <row r="915" spans="1:18" ht="12.75" customHeight="1">
      <c r="A915" s="113" t="s">
        <v>20</v>
      </c>
      <c r="B915" s="114"/>
      <c r="C915" s="114"/>
      <c r="D915" s="114">
        <f>+B915+C915</f>
        <v>0</v>
      </c>
      <c r="E915" s="114"/>
      <c r="F915" s="114"/>
      <c r="G915" s="114"/>
      <c r="H915" s="114">
        <f>SUM(E915:G915)</f>
        <v>0</v>
      </c>
      <c r="I915" s="43"/>
      <c r="J915" s="43"/>
      <c r="K915" s="43"/>
      <c r="L915" s="78">
        <f>SUM(I915:K915)</f>
        <v>0</v>
      </c>
      <c r="M915" s="114">
        <f t="shared" ref="M915:O916" si="551">+E915-I915</f>
        <v>0</v>
      </c>
      <c r="N915" s="115">
        <f t="shared" si="551"/>
        <v>0</v>
      </c>
      <c r="O915" s="114">
        <f t="shared" si="551"/>
        <v>0</v>
      </c>
      <c r="P915" s="116">
        <f>SUM(M915:O915)</f>
        <v>0</v>
      </c>
      <c r="Q915" s="106"/>
    </row>
    <row r="916" spans="1:18" ht="12.75" customHeight="1">
      <c r="A916" s="113" t="s">
        <v>21</v>
      </c>
      <c r="B916" s="114"/>
      <c r="C916" s="114">
        <f>+H916</f>
        <v>0</v>
      </c>
      <c r="D916" s="114">
        <f>+B916+C916</f>
        <v>0</v>
      </c>
      <c r="E916" s="114"/>
      <c r="F916" s="114"/>
      <c r="G916" s="114"/>
      <c r="H916" s="114">
        <f>SUM(E916:G916)</f>
        <v>0</v>
      </c>
      <c r="I916" s="43"/>
      <c r="J916" s="43"/>
      <c r="K916" s="43"/>
      <c r="L916" s="78">
        <f>SUM(I916:K916)</f>
        <v>0</v>
      </c>
      <c r="M916" s="114">
        <f t="shared" si="551"/>
        <v>0</v>
      </c>
      <c r="N916" s="115">
        <f t="shared" si="551"/>
        <v>0</v>
      </c>
      <c r="O916" s="114">
        <f t="shared" si="551"/>
        <v>0</v>
      </c>
      <c r="P916" s="116">
        <f>SUM(M916:O916)</f>
        <v>0</v>
      </c>
      <c r="Q916" s="106"/>
    </row>
    <row r="917" spans="1:18" ht="12.75" customHeight="1">
      <c r="A917" s="121"/>
      <c r="B917" s="122"/>
      <c r="C917" s="122"/>
      <c r="D917" s="122"/>
      <c r="E917" s="114"/>
      <c r="F917" s="114"/>
      <c r="G917" s="114"/>
      <c r="H917" s="114"/>
      <c r="I917" s="123"/>
      <c r="J917" s="123"/>
      <c r="K917" s="123"/>
      <c r="L917" s="124"/>
      <c r="M917" s="114"/>
      <c r="N917" s="115"/>
      <c r="O917" s="114"/>
      <c r="P917" s="116"/>
      <c r="Q917" s="106"/>
    </row>
    <row r="918" spans="1:18">
      <c r="A918" s="120" t="s">
        <v>322</v>
      </c>
      <c r="B918" s="102">
        <f>+B919+B923</f>
        <v>372310</v>
      </c>
      <c r="C918" s="102">
        <f>+C919+C923</f>
        <v>47515</v>
      </c>
      <c r="D918" s="102">
        <f>+D919+D923</f>
        <v>419825</v>
      </c>
      <c r="E918" s="102">
        <f t="shared" ref="E918:P918" si="552">+E919+E923</f>
        <v>379608</v>
      </c>
      <c r="F918" s="102">
        <f t="shared" si="552"/>
        <v>25170</v>
      </c>
      <c r="G918" s="102">
        <f t="shared" si="552"/>
        <v>5637</v>
      </c>
      <c r="H918" s="102">
        <f t="shared" si="552"/>
        <v>410415</v>
      </c>
      <c r="I918" s="45">
        <f t="shared" si="552"/>
        <v>355571</v>
      </c>
      <c r="J918" s="45">
        <f t="shared" si="552"/>
        <v>25170</v>
      </c>
      <c r="K918" s="45">
        <f t="shared" si="552"/>
        <v>0</v>
      </c>
      <c r="L918" s="103">
        <f t="shared" si="552"/>
        <v>380741</v>
      </c>
      <c r="M918" s="102">
        <f t="shared" si="552"/>
        <v>24037</v>
      </c>
      <c r="N918" s="104">
        <f t="shared" si="552"/>
        <v>0</v>
      </c>
      <c r="O918" s="102">
        <f t="shared" si="552"/>
        <v>5637</v>
      </c>
      <c r="P918" s="105">
        <f t="shared" si="552"/>
        <v>29674</v>
      </c>
      <c r="Q918" s="106">
        <f>+L918/H918</f>
        <v>0.92769757440639355</v>
      </c>
    </row>
    <row r="919" spans="1:18" ht="12.75" customHeight="1">
      <c r="A919" s="127" t="s">
        <v>15</v>
      </c>
      <c r="B919" s="108">
        <f>SUM(B920:B922)</f>
        <v>372310</v>
      </c>
      <c r="C919" s="108">
        <f>SUM(C920:C922)</f>
        <v>47515</v>
      </c>
      <c r="D919" s="108">
        <f>SUM(D920:D922)</f>
        <v>419825</v>
      </c>
      <c r="E919" s="108">
        <f t="shared" ref="E919:P919" si="553">SUM(E920:E922)</f>
        <v>379608</v>
      </c>
      <c r="F919" s="108">
        <f t="shared" si="553"/>
        <v>25170</v>
      </c>
      <c r="G919" s="108">
        <f t="shared" si="553"/>
        <v>5637</v>
      </c>
      <c r="H919" s="108">
        <f t="shared" si="553"/>
        <v>410415</v>
      </c>
      <c r="I919" s="109">
        <f>SUM(I920:I922)</f>
        <v>355571</v>
      </c>
      <c r="J919" s="109">
        <f>SUM(J920:J922)</f>
        <v>25170</v>
      </c>
      <c r="K919" s="109">
        <f>SUM(K920:K922)</f>
        <v>0</v>
      </c>
      <c r="L919" s="110">
        <f>SUM(L920:L922)</f>
        <v>380741</v>
      </c>
      <c r="M919" s="108">
        <f t="shared" si="553"/>
        <v>24037</v>
      </c>
      <c r="N919" s="111">
        <f t="shared" si="553"/>
        <v>0</v>
      </c>
      <c r="O919" s="108">
        <f t="shared" si="553"/>
        <v>5637</v>
      </c>
      <c r="P919" s="112">
        <f t="shared" si="553"/>
        <v>29674</v>
      </c>
      <c r="Q919" s="106"/>
    </row>
    <row r="920" spans="1:18" ht="12.75" customHeight="1">
      <c r="A920" s="113" t="s">
        <v>16</v>
      </c>
      <c r="B920" s="114">
        <v>343682</v>
      </c>
      <c r="C920" s="114"/>
      <c r="D920" s="114">
        <f>+B920+C920</f>
        <v>343682</v>
      </c>
      <c r="E920" s="114">
        <v>303457</v>
      </c>
      <c r="F920" s="114">
        <v>25170</v>
      </c>
      <c r="G920" s="114">
        <v>5637</v>
      </c>
      <c r="H920" s="114">
        <f>SUM(E920:G920)</f>
        <v>334264</v>
      </c>
      <c r="I920" s="43">
        <f>274205+25847</f>
        <v>300052</v>
      </c>
      <c r="J920" s="43">
        <f>51017-25847</f>
        <v>25170</v>
      </c>
      <c r="K920" s="43"/>
      <c r="L920" s="78">
        <f>SUM(I920:K920)</f>
        <v>325222</v>
      </c>
      <c r="M920" s="114">
        <f t="shared" ref="M920:O922" si="554">+E920-I920</f>
        <v>3405</v>
      </c>
      <c r="N920" s="115">
        <f t="shared" si="554"/>
        <v>0</v>
      </c>
      <c r="O920" s="114">
        <f t="shared" si="554"/>
        <v>5637</v>
      </c>
      <c r="P920" s="116">
        <f>SUM(M920:O920)</f>
        <v>9042</v>
      </c>
      <c r="Q920" s="106"/>
    </row>
    <row r="921" spans="1:18" ht="12.75" customHeight="1">
      <c r="A921" s="113" t="s">
        <v>17</v>
      </c>
      <c r="B921" s="114"/>
      <c r="C921" s="114">
        <f>+H921</f>
        <v>47515</v>
      </c>
      <c r="D921" s="114">
        <f>+B921+C921</f>
        <v>47515</v>
      </c>
      <c r="E921" s="114">
        <v>47515</v>
      </c>
      <c r="F921" s="114"/>
      <c r="G921" s="114"/>
      <c r="H921" s="114">
        <f>SUM(E921:G921)</f>
        <v>47515</v>
      </c>
      <c r="I921" s="43">
        <v>35425</v>
      </c>
      <c r="J921" s="43"/>
      <c r="K921" s="43"/>
      <c r="L921" s="78">
        <f>SUM(I921:K921)</f>
        <v>35425</v>
      </c>
      <c r="M921" s="114">
        <f t="shared" si="554"/>
        <v>12090</v>
      </c>
      <c r="N921" s="115">
        <f t="shared" si="554"/>
        <v>0</v>
      </c>
      <c r="O921" s="114">
        <f t="shared" si="554"/>
        <v>0</v>
      </c>
      <c r="P921" s="116">
        <f>SUM(M921:O921)</f>
        <v>12090</v>
      </c>
      <c r="Q921" s="106"/>
    </row>
    <row r="922" spans="1:18" ht="12.75" customHeight="1">
      <c r="A922" s="113" t="s">
        <v>18</v>
      </c>
      <c r="B922" s="114">
        <v>28628</v>
      </c>
      <c r="C922" s="114"/>
      <c r="D922" s="114">
        <f>+B922+C922</f>
        <v>28628</v>
      </c>
      <c r="E922" s="114">
        <v>28636</v>
      </c>
      <c r="F922" s="114"/>
      <c r="G922" s="114"/>
      <c r="H922" s="114">
        <f>SUM(E922:G922)</f>
        <v>28636</v>
      </c>
      <c r="I922" s="43">
        <v>20094</v>
      </c>
      <c r="J922" s="43"/>
      <c r="K922" s="43"/>
      <c r="L922" s="78">
        <f>SUM(I922:K922)</f>
        <v>20094</v>
      </c>
      <c r="M922" s="114">
        <f t="shared" si="554"/>
        <v>8542</v>
      </c>
      <c r="N922" s="115">
        <f t="shared" si="554"/>
        <v>0</v>
      </c>
      <c r="O922" s="114">
        <f t="shared" si="554"/>
        <v>0</v>
      </c>
      <c r="P922" s="116">
        <f>SUM(M922:O922)</f>
        <v>8542</v>
      </c>
      <c r="Q922" s="106"/>
    </row>
    <row r="923" spans="1:18" ht="12.75" customHeight="1">
      <c r="A923" s="113" t="s">
        <v>19</v>
      </c>
      <c r="B923" s="102">
        <f>SUM(B924:B925)</f>
        <v>0</v>
      </c>
      <c r="C923" s="102">
        <f>SUM(C924:C925)</f>
        <v>0</v>
      </c>
      <c r="D923" s="102">
        <f>SUM(D924:D925)</f>
        <v>0</v>
      </c>
      <c r="E923" s="102">
        <f t="shared" ref="E923:P923" si="555">SUM(E924:E925)</f>
        <v>0</v>
      </c>
      <c r="F923" s="102">
        <f t="shared" si="555"/>
        <v>0</v>
      </c>
      <c r="G923" s="102">
        <f t="shared" si="555"/>
        <v>0</v>
      </c>
      <c r="H923" s="102">
        <f t="shared" si="555"/>
        <v>0</v>
      </c>
      <c r="I923" s="45">
        <f>SUM(I924:I925)</f>
        <v>0</v>
      </c>
      <c r="J923" s="45">
        <f>SUM(J924:J925)</f>
        <v>0</v>
      </c>
      <c r="K923" s="45">
        <f>SUM(K924:K925)</f>
        <v>0</v>
      </c>
      <c r="L923" s="103">
        <f>SUM(L924:L925)</f>
        <v>0</v>
      </c>
      <c r="M923" s="102">
        <f t="shared" si="555"/>
        <v>0</v>
      </c>
      <c r="N923" s="104">
        <f t="shared" si="555"/>
        <v>0</v>
      </c>
      <c r="O923" s="102">
        <f t="shared" si="555"/>
        <v>0</v>
      </c>
      <c r="P923" s="105">
        <f t="shared" si="555"/>
        <v>0</v>
      </c>
      <c r="Q923" s="106"/>
    </row>
    <row r="924" spans="1:18" ht="12.75" customHeight="1">
      <c r="A924" s="113" t="s">
        <v>20</v>
      </c>
      <c r="B924" s="114"/>
      <c r="C924" s="114">
        <f>+H924</f>
        <v>0</v>
      </c>
      <c r="D924" s="114">
        <f>+B924+C924</f>
        <v>0</v>
      </c>
      <c r="E924" s="114"/>
      <c r="F924" s="114"/>
      <c r="G924" s="114">
        <f>+K924</f>
        <v>0</v>
      </c>
      <c r="H924" s="114">
        <f>SUM(E924:G924)</f>
        <v>0</v>
      </c>
      <c r="I924" s="43"/>
      <c r="J924" s="43"/>
      <c r="K924" s="43"/>
      <c r="L924" s="78">
        <f>SUM(I924:K924)</f>
        <v>0</v>
      </c>
      <c r="M924" s="114">
        <f t="shared" ref="M924:O925" si="556">+E924-I924</f>
        <v>0</v>
      </c>
      <c r="N924" s="115">
        <f t="shared" si="556"/>
        <v>0</v>
      </c>
      <c r="O924" s="114">
        <f t="shared" si="556"/>
        <v>0</v>
      </c>
      <c r="P924" s="116">
        <f>SUM(M924:O924)</f>
        <v>0</v>
      </c>
      <c r="Q924" s="106"/>
    </row>
    <row r="925" spans="1:18" ht="12.75" customHeight="1">
      <c r="A925" s="113" t="s">
        <v>21</v>
      </c>
      <c r="B925" s="114"/>
      <c r="C925" s="114">
        <f>+H925</f>
        <v>0</v>
      </c>
      <c r="D925" s="114">
        <f>+B925+C925</f>
        <v>0</v>
      </c>
      <c r="E925" s="114"/>
      <c r="F925" s="114"/>
      <c r="G925" s="114"/>
      <c r="H925" s="114">
        <f>SUM(E925:G925)</f>
        <v>0</v>
      </c>
      <c r="I925" s="43"/>
      <c r="J925" s="43"/>
      <c r="K925" s="43"/>
      <c r="L925" s="78">
        <f>SUM(I925:K925)</f>
        <v>0</v>
      </c>
      <c r="M925" s="114">
        <f t="shared" si="556"/>
        <v>0</v>
      </c>
      <c r="N925" s="115">
        <f t="shared" si="556"/>
        <v>0</v>
      </c>
      <c r="O925" s="114">
        <f t="shared" si="556"/>
        <v>0</v>
      </c>
      <c r="P925" s="116">
        <f>SUM(M925:O925)</f>
        <v>0</v>
      </c>
      <c r="Q925" s="106"/>
    </row>
    <row r="926" spans="1:18" ht="12.75" customHeight="1">
      <c r="A926" s="121"/>
      <c r="B926" s="122"/>
      <c r="C926" s="122"/>
      <c r="D926" s="122"/>
      <c r="E926" s="114"/>
      <c r="F926" s="114"/>
      <c r="G926" s="114"/>
      <c r="H926" s="114"/>
      <c r="I926" s="43"/>
      <c r="J926" s="43"/>
      <c r="K926" s="43"/>
      <c r="L926" s="78"/>
      <c r="M926" s="114"/>
      <c r="N926" s="115"/>
      <c r="O926" s="114"/>
      <c r="P926" s="116"/>
      <c r="Q926" s="106"/>
    </row>
    <row r="927" spans="1:18" ht="12.75" customHeight="1">
      <c r="A927" s="120" t="s">
        <v>323</v>
      </c>
      <c r="B927" s="102">
        <f>+B928+B932</f>
        <v>80930</v>
      </c>
      <c r="C927" s="102">
        <f>+C928+C932</f>
        <v>0</v>
      </c>
      <c r="D927" s="102">
        <f>+D928+D932</f>
        <v>80930</v>
      </c>
      <c r="E927" s="102">
        <f t="shared" ref="E927:P927" si="557">+E928+E932</f>
        <v>55017</v>
      </c>
      <c r="F927" s="102">
        <f t="shared" si="557"/>
        <v>27981</v>
      </c>
      <c r="G927" s="102">
        <f t="shared" si="557"/>
        <v>223</v>
      </c>
      <c r="H927" s="102">
        <f t="shared" si="557"/>
        <v>83221</v>
      </c>
      <c r="I927" s="45">
        <f t="shared" si="557"/>
        <v>54627</v>
      </c>
      <c r="J927" s="45">
        <f t="shared" si="557"/>
        <v>23376</v>
      </c>
      <c r="K927" s="45">
        <f t="shared" si="557"/>
        <v>223</v>
      </c>
      <c r="L927" s="103">
        <f t="shared" si="557"/>
        <v>78226</v>
      </c>
      <c r="M927" s="102">
        <f t="shared" si="557"/>
        <v>390</v>
      </c>
      <c r="N927" s="104">
        <f t="shared" si="557"/>
        <v>4605</v>
      </c>
      <c r="O927" s="102">
        <f t="shared" si="557"/>
        <v>0</v>
      </c>
      <c r="P927" s="105">
        <f t="shared" si="557"/>
        <v>4995</v>
      </c>
      <c r="Q927" s="106">
        <f>+L927/H927</f>
        <v>0.93997909181576766</v>
      </c>
      <c r="R927" s="136"/>
    </row>
    <row r="928" spans="1:18" ht="12.75" customHeight="1">
      <c r="A928" s="127" t="s">
        <v>15</v>
      </c>
      <c r="B928" s="108">
        <f>SUM(B929:B931)</f>
        <v>80930</v>
      </c>
      <c r="C928" s="108">
        <f>SUM(C929:C931)</f>
        <v>0</v>
      </c>
      <c r="D928" s="108">
        <f>SUM(D929:D931)</f>
        <v>80930</v>
      </c>
      <c r="E928" s="108">
        <f t="shared" ref="E928:P928" si="558">SUM(E929:E931)</f>
        <v>55017</v>
      </c>
      <c r="F928" s="108">
        <f t="shared" si="558"/>
        <v>27981</v>
      </c>
      <c r="G928" s="108">
        <f t="shared" si="558"/>
        <v>223</v>
      </c>
      <c r="H928" s="108">
        <f t="shared" si="558"/>
        <v>83221</v>
      </c>
      <c r="I928" s="109">
        <f>SUM(I929:I931)</f>
        <v>54627</v>
      </c>
      <c r="J928" s="109">
        <f>SUM(J929:J931)</f>
        <v>23376</v>
      </c>
      <c r="K928" s="109">
        <f>SUM(K929:K931)</f>
        <v>223</v>
      </c>
      <c r="L928" s="110">
        <f>SUM(L929:L931)</f>
        <v>78226</v>
      </c>
      <c r="M928" s="108">
        <f t="shared" si="558"/>
        <v>390</v>
      </c>
      <c r="N928" s="111">
        <f t="shared" si="558"/>
        <v>4605</v>
      </c>
      <c r="O928" s="108">
        <f t="shared" si="558"/>
        <v>0</v>
      </c>
      <c r="P928" s="112">
        <f t="shared" si="558"/>
        <v>4995</v>
      </c>
      <c r="Q928" s="106"/>
    </row>
    <row r="929" spans="1:17" ht="12.75" customHeight="1">
      <c r="A929" s="113" t="s">
        <v>16</v>
      </c>
      <c r="B929" s="114">
        <v>76403</v>
      </c>
      <c r="C929" s="114"/>
      <c r="D929" s="114">
        <f>+B929+C929</f>
        <v>76403</v>
      </c>
      <c r="E929" s="114">
        <v>48199</v>
      </c>
      <c r="F929" s="114">
        <v>27981</v>
      </c>
      <c r="G929" s="114">
        <v>223</v>
      </c>
      <c r="H929" s="114">
        <f>SUM(E929:G929)</f>
        <v>76403</v>
      </c>
      <c r="I929" s="43">
        <f>11898+42729-610-515-1720-3583</f>
        <v>48199</v>
      </c>
      <c r="J929" s="43">
        <f>15021+5855+2500</f>
        <v>23376</v>
      </c>
      <c r="K929" s="43">
        <v>223</v>
      </c>
      <c r="L929" s="78">
        <f>SUM(I929:K929)</f>
        <v>71798</v>
      </c>
      <c r="M929" s="114">
        <f t="shared" ref="M929:O931" si="559">+E929-I929</f>
        <v>0</v>
      </c>
      <c r="N929" s="115">
        <f t="shared" si="559"/>
        <v>4605</v>
      </c>
      <c r="O929" s="114">
        <f t="shared" si="559"/>
        <v>0</v>
      </c>
      <c r="P929" s="116">
        <f>SUM(M929:O929)</f>
        <v>4605</v>
      </c>
      <c r="Q929" s="106"/>
    </row>
    <row r="930" spans="1:17" ht="12.75" customHeight="1">
      <c r="A930" s="113" t="s">
        <v>17</v>
      </c>
      <c r="B930" s="114"/>
      <c r="C930" s="114"/>
      <c r="D930" s="114">
        <f>+B930+C930</f>
        <v>0</v>
      </c>
      <c r="E930" s="114">
        <v>2280</v>
      </c>
      <c r="F930" s="114"/>
      <c r="G930" s="114"/>
      <c r="H930" s="114">
        <f>SUM(E930:G930)</f>
        <v>2280</v>
      </c>
      <c r="I930" s="43">
        <f>610+1720-50</f>
        <v>2280</v>
      </c>
      <c r="J930" s="43"/>
      <c r="K930" s="43"/>
      <c r="L930" s="78">
        <f>SUM(I930:K930)</f>
        <v>2280</v>
      </c>
      <c r="M930" s="114">
        <f t="shared" si="559"/>
        <v>0</v>
      </c>
      <c r="N930" s="115">
        <f t="shared" si="559"/>
        <v>0</v>
      </c>
      <c r="O930" s="114">
        <f t="shared" si="559"/>
        <v>0</v>
      </c>
      <c r="P930" s="116">
        <f>SUM(M930:O930)</f>
        <v>0</v>
      </c>
      <c r="Q930" s="106"/>
    </row>
    <row r="931" spans="1:17" ht="12.75" customHeight="1">
      <c r="A931" s="113" t="s">
        <v>18</v>
      </c>
      <c r="B931" s="114">
        <v>4527</v>
      </c>
      <c r="C931" s="114"/>
      <c r="D931" s="114">
        <f>+B931+C931</f>
        <v>4527</v>
      </c>
      <c r="E931" s="114">
        <v>4538</v>
      </c>
      <c r="F931" s="114"/>
      <c r="G931" s="114"/>
      <c r="H931" s="114">
        <f>SUM(E931:G931)</f>
        <v>4538</v>
      </c>
      <c r="I931" s="43">
        <f>515+3583+50</f>
        <v>4148</v>
      </c>
      <c r="J931" s="43"/>
      <c r="K931" s="43"/>
      <c r="L931" s="78">
        <f>SUM(I931:K931)</f>
        <v>4148</v>
      </c>
      <c r="M931" s="114">
        <f t="shared" si="559"/>
        <v>390</v>
      </c>
      <c r="N931" s="115">
        <f t="shared" si="559"/>
        <v>0</v>
      </c>
      <c r="O931" s="114">
        <f t="shared" si="559"/>
        <v>0</v>
      </c>
      <c r="P931" s="116">
        <f>SUM(M931:O931)</f>
        <v>390</v>
      </c>
      <c r="Q931" s="106"/>
    </row>
    <row r="932" spans="1:17" ht="12.75" customHeight="1">
      <c r="A932" s="113" t="s">
        <v>19</v>
      </c>
      <c r="B932" s="102">
        <f>SUM(B933:B934)</f>
        <v>0</v>
      </c>
      <c r="C932" s="102">
        <f>SUM(C933:C934)</f>
        <v>0</v>
      </c>
      <c r="D932" s="102">
        <f>SUM(D933:D934)</f>
        <v>0</v>
      </c>
      <c r="E932" s="102">
        <f t="shared" ref="E932:P932" si="560">SUM(E933:E934)</f>
        <v>0</v>
      </c>
      <c r="F932" s="102">
        <f t="shared" si="560"/>
        <v>0</v>
      </c>
      <c r="G932" s="102">
        <f t="shared" si="560"/>
        <v>0</v>
      </c>
      <c r="H932" s="102">
        <f t="shared" si="560"/>
        <v>0</v>
      </c>
      <c r="I932" s="45"/>
      <c r="J932" s="45"/>
      <c r="K932" s="45"/>
      <c r="L932" s="103">
        <f>SUM(L933:L934)</f>
        <v>0</v>
      </c>
      <c r="M932" s="102">
        <f t="shared" si="560"/>
        <v>0</v>
      </c>
      <c r="N932" s="104">
        <f t="shared" si="560"/>
        <v>0</v>
      </c>
      <c r="O932" s="102">
        <f t="shared" si="560"/>
        <v>0</v>
      </c>
      <c r="P932" s="105">
        <f t="shared" si="560"/>
        <v>0</v>
      </c>
      <c r="Q932" s="106"/>
    </row>
    <row r="933" spans="1:17" ht="12.75" customHeight="1">
      <c r="A933" s="113" t="s">
        <v>20</v>
      </c>
      <c r="B933" s="114"/>
      <c r="C933" s="114">
        <f>+H933</f>
        <v>0</v>
      </c>
      <c r="D933" s="114">
        <f>+B933+C933</f>
        <v>0</v>
      </c>
      <c r="E933" s="114"/>
      <c r="F933" s="114"/>
      <c r="G933" s="114"/>
      <c r="H933" s="114">
        <f>SUM(E933:G933)</f>
        <v>0</v>
      </c>
      <c r="I933" s="43"/>
      <c r="J933" s="43"/>
      <c r="K933" s="43"/>
      <c r="L933" s="78">
        <f>SUM(I933:K933)</f>
        <v>0</v>
      </c>
      <c r="M933" s="114">
        <f t="shared" ref="M933:O934" si="561">+E933-I933</f>
        <v>0</v>
      </c>
      <c r="N933" s="115">
        <f t="shared" si="561"/>
        <v>0</v>
      </c>
      <c r="O933" s="114">
        <f t="shared" si="561"/>
        <v>0</v>
      </c>
      <c r="P933" s="116">
        <f>SUM(M933:O933)</f>
        <v>0</v>
      </c>
      <c r="Q933" s="106"/>
    </row>
    <row r="934" spans="1:17" ht="12.75" customHeight="1">
      <c r="A934" s="113" t="s">
        <v>21</v>
      </c>
      <c r="B934" s="114"/>
      <c r="C934" s="114">
        <f>+H934</f>
        <v>0</v>
      </c>
      <c r="D934" s="114">
        <f>+B934+C934</f>
        <v>0</v>
      </c>
      <c r="E934" s="114"/>
      <c r="F934" s="114"/>
      <c r="G934" s="114"/>
      <c r="H934" s="114">
        <f>SUM(E934:G934)</f>
        <v>0</v>
      </c>
      <c r="I934" s="63"/>
      <c r="J934" s="63"/>
      <c r="K934" s="63"/>
      <c r="L934" s="79">
        <f>SUM(I934:K934)</f>
        <v>0</v>
      </c>
      <c r="M934" s="114">
        <f t="shared" si="561"/>
        <v>0</v>
      </c>
      <c r="N934" s="115">
        <f t="shared" si="561"/>
        <v>0</v>
      </c>
      <c r="O934" s="114">
        <f t="shared" si="561"/>
        <v>0</v>
      </c>
      <c r="P934" s="116">
        <f>SUM(M934:O934)</f>
        <v>0</v>
      </c>
      <c r="Q934" s="106"/>
    </row>
    <row r="935" spans="1:17" ht="12.75" customHeight="1">
      <c r="A935" s="121"/>
      <c r="B935" s="122"/>
      <c r="C935" s="122"/>
      <c r="D935" s="122"/>
      <c r="E935" s="114"/>
      <c r="F935" s="114"/>
      <c r="G935" s="114"/>
      <c r="H935" s="114"/>
      <c r="I935" s="157"/>
      <c r="J935" s="157"/>
      <c r="K935" s="157"/>
      <c r="L935" s="158"/>
      <c r="M935" s="114"/>
      <c r="N935" s="115"/>
      <c r="O935" s="114"/>
      <c r="P935" s="116"/>
      <c r="Q935" s="106"/>
    </row>
    <row r="936" spans="1:17" ht="12.75" customHeight="1">
      <c r="A936" s="120" t="s">
        <v>324</v>
      </c>
      <c r="B936" s="102">
        <f>+B937+B941</f>
        <v>62813</v>
      </c>
      <c r="C936" s="102">
        <f>+C937+C941</f>
        <v>0</v>
      </c>
      <c r="D936" s="102">
        <f>+D937+D941</f>
        <v>62813</v>
      </c>
      <c r="E936" s="102">
        <f t="shared" ref="E936:P936" si="562">+E937+E941</f>
        <v>46509</v>
      </c>
      <c r="F936" s="102">
        <f t="shared" si="562"/>
        <v>18008</v>
      </c>
      <c r="G936" s="102">
        <f t="shared" si="562"/>
        <v>223</v>
      </c>
      <c r="H936" s="102">
        <f t="shared" si="562"/>
        <v>64740</v>
      </c>
      <c r="I936" s="45">
        <f t="shared" si="562"/>
        <v>46419</v>
      </c>
      <c r="J936" s="45">
        <f t="shared" si="562"/>
        <v>18008</v>
      </c>
      <c r="K936" s="45">
        <f t="shared" si="562"/>
        <v>212</v>
      </c>
      <c r="L936" s="103">
        <f t="shared" si="562"/>
        <v>64639</v>
      </c>
      <c r="M936" s="102">
        <f t="shared" si="562"/>
        <v>90</v>
      </c>
      <c r="N936" s="104">
        <f t="shared" si="562"/>
        <v>0</v>
      </c>
      <c r="O936" s="102">
        <f t="shared" si="562"/>
        <v>11</v>
      </c>
      <c r="P936" s="105">
        <f t="shared" si="562"/>
        <v>101</v>
      </c>
      <c r="Q936" s="106">
        <f>+L936/H936</f>
        <v>0.99843991350015449</v>
      </c>
    </row>
    <row r="937" spans="1:17" ht="12.75" customHeight="1">
      <c r="A937" s="127" t="s">
        <v>15</v>
      </c>
      <c r="B937" s="108">
        <f>SUM(B938:B940)</f>
        <v>62813</v>
      </c>
      <c r="C937" s="108">
        <f>SUM(C938:C940)</f>
        <v>0</v>
      </c>
      <c r="D937" s="108">
        <f>SUM(D938:D940)</f>
        <v>62813</v>
      </c>
      <c r="E937" s="108">
        <f t="shared" ref="E937:P937" si="563">SUM(E938:E940)</f>
        <v>46509</v>
      </c>
      <c r="F937" s="108">
        <f t="shared" si="563"/>
        <v>18008</v>
      </c>
      <c r="G937" s="108">
        <f t="shared" si="563"/>
        <v>223</v>
      </c>
      <c r="H937" s="108">
        <f t="shared" si="563"/>
        <v>64740</v>
      </c>
      <c r="I937" s="109">
        <f>SUM(I938:I940)</f>
        <v>46419</v>
      </c>
      <c r="J937" s="109">
        <f>SUM(J938:J940)</f>
        <v>18008</v>
      </c>
      <c r="K937" s="109">
        <f>SUM(K938:K940)</f>
        <v>212</v>
      </c>
      <c r="L937" s="110">
        <f>SUM(L938:L940)</f>
        <v>64639</v>
      </c>
      <c r="M937" s="108">
        <f t="shared" si="563"/>
        <v>90</v>
      </c>
      <c r="N937" s="111">
        <f t="shared" si="563"/>
        <v>0</v>
      </c>
      <c r="O937" s="108">
        <f t="shared" si="563"/>
        <v>11</v>
      </c>
      <c r="P937" s="112">
        <f t="shared" si="563"/>
        <v>101</v>
      </c>
      <c r="Q937" s="106"/>
    </row>
    <row r="938" spans="1:17" ht="12.75" customHeight="1">
      <c r="A938" s="113" t="s">
        <v>16</v>
      </c>
      <c r="B938" s="114">
        <v>59102</v>
      </c>
      <c r="C938" s="114"/>
      <c r="D938" s="114">
        <f>+B938+C938</f>
        <v>59102</v>
      </c>
      <c r="E938" s="114">
        <v>40871</v>
      </c>
      <c r="F938" s="114">
        <v>18008</v>
      </c>
      <c r="G938" s="114">
        <v>223</v>
      </c>
      <c r="H938" s="114">
        <f>SUM(E938:G938)</f>
        <v>59102</v>
      </c>
      <c r="I938" s="43">
        <v>40781</v>
      </c>
      <c r="J938" s="43">
        <v>18008</v>
      </c>
      <c r="K938" s="43">
        <v>212</v>
      </c>
      <c r="L938" s="78">
        <f>SUM(I938:K938)</f>
        <v>59001</v>
      </c>
      <c r="M938" s="114">
        <f t="shared" ref="M938:O940" si="564">+E938-I938</f>
        <v>90</v>
      </c>
      <c r="N938" s="115">
        <f t="shared" si="564"/>
        <v>0</v>
      </c>
      <c r="O938" s="114">
        <f t="shared" si="564"/>
        <v>11</v>
      </c>
      <c r="P938" s="116">
        <f>SUM(M938:O938)</f>
        <v>101</v>
      </c>
      <c r="Q938" s="106"/>
    </row>
    <row r="939" spans="1:17" ht="12.75" customHeight="1">
      <c r="A939" s="113" t="s">
        <v>17</v>
      </c>
      <c r="B939" s="114"/>
      <c r="C939" s="114"/>
      <c r="D939" s="114">
        <f>+B939+C939</f>
        <v>0</v>
      </c>
      <c r="E939" s="114">
        <v>1927</v>
      </c>
      <c r="F939" s="114"/>
      <c r="G939" s="114"/>
      <c r="H939" s="114">
        <f>SUM(E939:G939)</f>
        <v>1927</v>
      </c>
      <c r="I939" s="43">
        <v>1927</v>
      </c>
      <c r="J939" s="43"/>
      <c r="K939" s="43"/>
      <c r="L939" s="78">
        <f>SUM(I939:K939)</f>
        <v>1927</v>
      </c>
      <c r="M939" s="114">
        <f t="shared" si="564"/>
        <v>0</v>
      </c>
      <c r="N939" s="115">
        <f t="shared" si="564"/>
        <v>0</v>
      </c>
      <c r="O939" s="114">
        <f t="shared" si="564"/>
        <v>0</v>
      </c>
      <c r="P939" s="116">
        <f>SUM(M939:O939)</f>
        <v>0</v>
      </c>
      <c r="Q939" s="106"/>
    </row>
    <row r="940" spans="1:17" ht="12.75" customHeight="1">
      <c r="A940" s="113" t="s">
        <v>18</v>
      </c>
      <c r="B940" s="114">
        <v>3711</v>
      </c>
      <c r="C940" s="114"/>
      <c r="D940" s="114">
        <f>+B940+C940</f>
        <v>3711</v>
      </c>
      <c r="E940" s="114">
        <v>3711</v>
      </c>
      <c r="F940" s="114"/>
      <c r="G940" s="114"/>
      <c r="H940" s="114">
        <f>SUM(E940:G940)</f>
        <v>3711</v>
      </c>
      <c r="I940" s="43">
        <v>3711</v>
      </c>
      <c r="J940" s="43"/>
      <c r="K940" s="43"/>
      <c r="L940" s="78">
        <f>SUM(I940:K940)</f>
        <v>3711</v>
      </c>
      <c r="M940" s="114">
        <f t="shared" si="564"/>
        <v>0</v>
      </c>
      <c r="N940" s="115">
        <f t="shared" si="564"/>
        <v>0</v>
      </c>
      <c r="O940" s="114">
        <f t="shared" si="564"/>
        <v>0</v>
      </c>
      <c r="P940" s="116">
        <f>SUM(M940:O940)</f>
        <v>0</v>
      </c>
      <c r="Q940" s="106"/>
    </row>
    <row r="941" spans="1:17" ht="12.75" customHeight="1">
      <c r="A941" s="113" t="s">
        <v>19</v>
      </c>
      <c r="B941" s="102">
        <f>SUM(B942:B943)</f>
        <v>0</v>
      </c>
      <c r="C941" s="102">
        <f>SUM(C942:C943)</f>
        <v>0</v>
      </c>
      <c r="D941" s="102">
        <f>SUM(D942:D943)</f>
        <v>0</v>
      </c>
      <c r="E941" s="102">
        <f t="shared" ref="E941:P941" si="565">SUM(E942:E943)</f>
        <v>0</v>
      </c>
      <c r="F941" s="102">
        <f t="shared" si="565"/>
        <v>0</v>
      </c>
      <c r="G941" s="102">
        <f t="shared" si="565"/>
        <v>0</v>
      </c>
      <c r="H941" s="102">
        <f t="shared" si="565"/>
        <v>0</v>
      </c>
      <c r="I941" s="45">
        <f>SUM(I942:I943)</f>
        <v>0</v>
      </c>
      <c r="J941" s="45">
        <f>SUM(J942:J943)</f>
        <v>0</v>
      </c>
      <c r="K941" s="45">
        <f>SUM(K942:K943)</f>
        <v>0</v>
      </c>
      <c r="L941" s="103">
        <f>SUM(L942:L943)</f>
        <v>0</v>
      </c>
      <c r="M941" s="102">
        <f t="shared" si="565"/>
        <v>0</v>
      </c>
      <c r="N941" s="104">
        <f t="shared" si="565"/>
        <v>0</v>
      </c>
      <c r="O941" s="102">
        <f t="shared" si="565"/>
        <v>0</v>
      </c>
      <c r="P941" s="105">
        <f t="shared" si="565"/>
        <v>0</v>
      </c>
      <c r="Q941" s="106"/>
    </row>
    <row r="942" spans="1:17" ht="12.75" customHeight="1">
      <c r="A942" s="113" t="s">
        <v>20</v>
      </c>
      <c r="B942" s="114"/>
      <c r="C942" s="114">
        <f>+H942</f>
        <v>0</v>
      </c>
      <c r="D942" s="114">
        <f>+B942+C942</f>
        <v>0</v>
      </c>
      <c r="E942" s="114"/>
      <c r="F942" s="114"/>
      <c r="G942" s="114"/>
      <c r="H942" s="114">
        <f>SUM(E942:G942)</f>
        <v>0</v>
      </c>
      <c r="I942" s="43"/>
      <c r="J942" s="43"/>
      <c r="K942" s="43"/>
      <c r="L942" s="78">
        <f>SUM(I942:K942)</f>
        <v>0</v>
      </c>
      <c r="M942" s="114">
        <f t="shared" ref="M942:O943" si="566">+E942-I942</f>
        <v>0</v>
      </c>
      <c r="N942" s="115">
        <f t="shared" si="566"/>
        <v>0</v>
      </c>
      <c r="O942" s="114">
        <f t="shared" si="566"/>
        <v>0</v>
      </c>
      <c r="P942" s="116">
        <f>SUM(M942:O942)</f>
        <v>0</v>
      </c>
      <c r="Q942" s="106"/>
    </row>
    <row r="943" spans="1:17" ht="12.75" customHeight="1">
      <c r="A943" s="113" t="s">
        <v>21</v>
      </c>
      <c r="B943" s="114"/>
      <c r="C943" s="114">
        <f>+H943</f>
        <v>0</v>
      </c>
      <c r="D943" s="114">
        <f>+B943+C943</f>
        <v>0</v>
      </c>
      <c r="E943" s="114"/>
      <c r="F943" s="114"/>
      <c r="G943" s="114"/>
      <c r="H943" s="114">
        <f>SUM(E943:G943)</f>
        <v>0</v>
      </c>
      <c r="I943" s="43"/>
      <c r="J943" s="43"/>
      <c r="K943" s="43"/>
      <c r="L943" s="78">
        <f>SUM(I943:K943)</f>
        <v>0</v>
      </c>
      <c r="M943" s="114">
        <f t="shared" si="566"/>
        <v>0</v>
      </c>
      <c r="N943" s="115">
        <f t="shared" si="566"/>
        <v>0</v>
      </c>
      <c r="O943" s="114">
        <f t="shared" si="566"/>
        <v>0</v>
      </c>
      <c r="P943" s="116">
        <f>SUM(M943:O943)</f>
        <v>0</v>
      </c>
      <c r="Q943" s="106"/>
    </row>
    <row r="944" spans="1:17" ht="12.75" customHeight="1">
      <c r="A944" s="229"/>
      <c r="B944" s="230"/>
      <c r="C944" s="230"/>
      <c r="D944" s="230"/>
      <c r="E944" s="102"/>
      <c r="F944" s="102"/>
      <c r="G944" s="102"/>
      <c r="H944" s="102"/>
      <c r="I944" s="45"/>
      <c r="J944" s="45"/>
      <c r="K944" s="45"/>
      <c r="L944" s="103"/>
      <c r="M944" s="102"/>
      <c r="N944" s="104"/>
      <c r="O944" s="102"/>
      <c r="P944" s="105"/>
      <c r="Q944" s="227"/>
    </row>
    <row r="945" spans="1:17" ht="12.75" customHeight="1">
      <c r="A945" s="149" t="s">
        <v>325</v>
      </c>
      <c r="B945" s="102">
        <f>+B946+B950</f>
        <v>1487449</v>
      </c>
      <c r="C945" s="102">
        <f>+C946+C950</f>
        <v>97685</v>
      </c>
      <c r="D945" s="102">
        <f>+D946+D950</f>
        <v>1585134</v>
      </c>
      <c r="E945" s="102">
        <f t="shared" ref="E945:P945" si="567">+E946+E950</f>
        <v>1120777</v>
      </c>
      <c r="F945" s="102">
        <f t="shared" si="567"/>
        <v>430441</v>
      </c>
      <c r="G945" s="102">
        <f t="shared" si="567"/>
        <v>250977</v>
      </c>
      <c r="H945" s="102">
        <f t="shared" si="567"/>
        <v>1802195</v>
      </c>
      <c r="I945" s="139">
        <f>+I946+I950</f>
        <v>1114850</v>
      </c>
      <c r="J945" s="139">
        <f>+J946+J950</f>
        <v>382033</v>
      </c>
      <c r="K945" s="139">
        <f>+K946+K950</f>
        <v>109660</v>
      </c>
      <c r="L945" s="139">
        <f>+L946+L950</f>
        <v>1606543</v>
      </c>
      <c r="M945" s="102">
        <f t="shared" si="567"/>
        <v>5927</v>
      </c>
      <c r="N945" s="104">
        <f t="shared" si="567"/>
        <v>48408</v>
      </c>
      <c r="O945" s="102">
        <f t="shared" si="567"/>
        <v>141317</v>
      </c>
      <c r="P945" s="105">
        <f t="shared" si="567"/>
        <v>195652</v>
      </c>
      <c r="Q945" s="106">
        <f>+L945/H945</f>
        <v>0.89143683119751194</v>
      </c>
    </row>
    <row r="946" spans="1:17" ht="12.75" customHeight="1">
      <c r="A946" s="127" t="s">
        <v>15</v>
      </c>
      <c r="B946" s="108">
        <f>SUM(B947:B949)</f>
        <v>1487449</v>
      </c>
      <c r="C946" s="108">
        <f>SUM(C947:C949)</f>
        <v>97685</v>
      </c>
      <c r="D946" s="108">
        <f>SUM(D947:D949)</f>
        <v>1585134</v>
      </c>
      <c r="E946" s="108">
        <f t="shared" ref="E946:P946" si="568">SUM(E947:E949)</f>
        <v>1120777</v>
      </c>
      <c r="F946" s="108">
        <f t="shared" si="568"/>
        <v>428061</v>
      </c>
      <c r="G946" s="108">
        <f t="shared" si="568"/>
        <v>250977</v>
      </c>
      <c r="H946" s="108">
        <f t="shared" si="568"/>
        <v>1799815</v>
      </c>
      <c r="I946" s="141">
        <f>SUM(I947:I949)</f>
        <v>1114850</v>
      </c>
      <c r="J946" s="141">
        <f>SUM(J947:J949)</f>
        <v>379653</v>
      </c>
      <c r="K946" s="141">
        <f>SUM(K947:K949)</f>
        <v>109660</v>
      </c>
      <c r="L946" s="141">
        <f>SUM(L947:L949)</f>
        <v>1604163</v>
      </c>
      <c r="M946" s="108">
        <f t="shared" si="568"/>
        <v>5927</v>
      </c>
      <c r="N946" s="111">
        <f t="shared" si="568"/>
        <v>48408</v>
      </c>
      <c r="O946" s="108">
        <f t="shared" si="568"/>
        <v>141317</v>
      </c>
      <c r="P946" s="112">
        <f t="shared" si="568"/>
        <v>195652</v>
      </c>
      <c r="Q946" s="106"/>
    </row>
    <row r="947" spans="1:17" ht="12.75" customHeight="1">
      <c r="A947" s="113" t="s">
        <v>16</v>
      </c>
      <c r="B947" s="114">
        <f t="shared" ref="B947:G949" si="569">+B956+B965+B974+B983+B992+B1001+B1010</f>
        <v>1400066</v>
      </c>
      <c r="C947" s="114">
        <f t="shared" si="569"/>
        <v>0</v>
      </c>
      <c r="D947" s="114">
        <f t="shared" si="569"/>
        <v>1400066</v>
      </c>
      <c r="E947" s="114">
        <f t="shared" si="569"/>
        <v>931430</v>
      </c>
      <c r="F947" s="114">
        <f t="shared" si="569"/>
        <v>428061</v>
      </c>
      <c r="G947" s="114">
        <f t="shared" si="569"/>
        <v>249591</v>
      </c>
      <c r="H947" s="114">
        <f>SUM(E947:G947)</f>
        <v>1609082</v>
      </c>
      <c r="I947" s="143">
        <f t="shared" ref="I947:K949" si="570">+I956+I965+I974+I983+I992+I1001+I1010</f>
        <v>929276</v>
      </c>
      <c r="J947" s="143">
        <f t="shared" si="570"/>
        <v>379653</v>
      </c>
      <c r="K947" s="143">
        <f t="shared" si="570"/>
        <v>109660</v>
      </c>
      <c r="L947" s="143">
        <f>SUM(I947:K947)</f>
        <v>1418589</v>
      </c>
      <c r="M947" s="114">
        <f t="shared" ref="M947:O949" si="571">+E947-I947</f>
        <v>2154</v>
      </c>
      <c r="N947" s="115">
        <f t="shared" si="571"/>
        <v>48408</v>
      </c>
      <c r="O947" s="114">
        <f t="shared" si="571"/>
        <v>139931</v>
      </c>
      <c r="P947" s="116">
        <f>SUM(M947:O947)</f>
        <v>190493</v>
      </c>
      <c r="Q947" s="106"/>
    </row>
    <row r="948" spans="1:17" ht="12.75" customHeight="1">
      <c r="A948" s="113" t="s">
        <v>17</v>
      </c>
      <c r="B948" s="114">
        <f t="shared" si="569"/>
        <v>0</v>
      </c>
      <c r="C948" s="114">
        <f t="shared" si="569"/>
        <v>97685</v>
      </c>
      <c r="D948" s="114">
        <f t="shared" si="569"/>
        <v>97685</v>
      </c>
      <c r="E948" s="114">
        <f t="shared" si="569"/>
        <v>99194</v>
      </c>
      <c r="F948" s="114">
        <f t="shared" si="569"/>
        <v>0</v>
      </c>
      <c r="G948" s="114">
        <f t="shared" si="569"/>
        <v>1386</v>
      </c>
      <c r="H948" s="114">
        <f>SUM(E948:G948)</f>
        <v>100580</v>
      </c>
      <c r="I948" s="143">
        <f t="shared" si="570"/>
        <v>98424</v>
      </c>
      <c r="J948" s="143">
        <f t="shared" si="570"/>
        <v>0</v>
      </c>
      <c r="K948" s="143">
        <f t="shared" si="570"/>
        <v>0</v>
      </c>
      <c r="L948" s="143">
        <f>SUM(I948:K948)</f>
        <v>98424</v>
      </c>
      <c r="M948" s="114">
        <f t="shared" si="571"/>
        <v>770</v>
      </c>
      <c r="N948" s="115">
        <f t="shared" si="571"/>
        <v>0</v>
      </c>
      <c r="O948" s="114">
        <f t="shared" si="571"/>
        <v>1386</v>
      </c>
      <c r="P948" s="116">
        <f>SUM(M948:O948)</f>
        <v>2156</v>
      </c>
      <c r="Q948" s="106"/>
    </row>
    <row r="949" spans="1:17" ht="12.75" customHeight="1">
      <c r="A949" s="113" t="s">
        <v>18</v>
      </c>
      <c r="B949" s="114">
        <f t="shared" si="569"/>
        <v>87383</v>
      </c>
      <c r="C949" s="114">
        <f t="shared" si="569"/>
        <v>0</v>
      </c>
      <c r="D949" s="114">
        <f t="shared" si="569"/>
        <v>87383</v>
      </c>
      <c r="E949" s="114">
        <f t="shared" si="569"/>
        <v>90153</v>
      </c>
      <c r="F949" s="114">
        <f t="shared" si="569"/>
        <v>0</v>
      </c>
      <c r="G949" s="114">
        <f t="shared" si="569"/>
        <v>0</v>
      </c>
      <c r="H949" s="114">
        <f>SUM(E949:G949)</f>
        <v>90153</v>
      </c>
      <c r="I949" s="143">
        <f t="shared" si="570"/>
        <v>87150</v>
      </c>
      <c r="J949" s="143">
        <f t="shared" si="570"/>
        <v>0</v>
      </c>
      <c r="K949" s="143">
        <f t="shared" si="570"/>
        <v>0</v>
      </c>
      <c r="L949" s="143">
        <f>SUM(I949:K949)</f>
        <v>87150</v>
      </c>
      <c r="M949" s="114">
        <f t="shared" si="571"/>
        <v>3003</v>
      </c>
      <c r="N949" s="115">
        <f t="shared" si="571"/>
        <v>0</v>
      </c>
      <c r="O949" s="114">
        <f t="shared" si="571"/>
        <v>0</v>
      </c>
      <c r="P949" s="116">
        <f>SUM(M949:O949)</f>
        <v>3003</v>
      </c>
      <c r="Q949" s="106"/>
    </row>
    <row r="950" spans="1:17" ht="12.75" customHeight="1">
      <c r="A950" s="113" t="s">
        <v>19</v>
      </c>
      <c r="B950" s="102">
        <f>SUM(B951:B952)</f>
        <v>0</v>
      </c>
      <c r="C950" s="102">
        <f>SUM(C951:C952)</f>
        <v>0</v>
      </c>
      <c r="D950" s="102">
        <f>SUM(D951:D952)</f>
        <v>0</v>
      </c>
      <c r="E950" s="102">
        <f t="shared" ref="E950:P950" si="572">SUM(E951:E952)</f>
        <v>0</v>
      </c>
      <c r="F950" s="102">
        <f t="shared" si="572"/>
        <v>2380</v>
      </c>
      <c r="G950" s="102">
        <f t="shared" si="572"/>
        <v>0</v>
      </c>
      <c r="H950" s="102">
        <f t="shared" si="572"/>
        <v>2380</v>
      </c>
      <c r="I950" s="139">
        <f>SUM(I951:I952)</f>
        <v>0</v>
      </c>
      <c r="J950" s="139">
        <f>SUM(J951:J952)</f>
        <v>2380</v>
      </c>
      <c r="K950" s="139">
        <f>SUM(K951:K952)</f>
        <v>0</v>
      </c>
      <c r="L950" s="139">
        <f>SUM(L951:L952)</f>
        <v>2380</v>
      </c>
      <c r="M950" s="102">
        <f t="shared" si="572"/>
        <v>0</v>
      </c>
      <c r="N950" s="104">
        <f t="shared" si="572"/>
        <v>0</v>
      </c>
      <c r="O950" s="102">
        <f t="shared" si="572"/>
        <v>0</v>
      </c>
      <c r="P950" s="105">
        <f t="shared" si="572"/>
        <v>0</v>
      </c>
      <c r="Q950" s="106"/>
    </row>
    <row r="951" spans="1:17" ht="12.75" customHeight="1">
      <c r="A951" s="113" t="s">
        <v>20</v>
      </c>
      <c r="B951" s="114">
        <f t="shared" ref="B951:G952" si="573">+B960+B969+B978+B987+B996+B1005+B1014</f>
        <v>0</v>
      </c>
      <c r="C951" s="114">
        <f t="shared" si="573"/>
        <v>0</v>
      </c>
      <c r="D951" s="114">
        <f t="shared" si="573"/>
        <v>0</v>
      </c>
      <c r="E951" s="114">
        <f t="shared" si="573"/>
        <v>0</v>
      </c>
      <c r="F951" s="114">
        <f t="shared" si="573"/>
        <v>2380</v>
      </c>
      <c r="G951" s="114">
        <f t="shared" si="573"/>
        <v>0</v>
      </c>
      <c r="H951" s="114">
        <f>SUM(E951:G951)</f>
        <v>2380</v>
      </c>
      <c r="I951" s="143">
        <f t="shared" ref="I951:K952" si="574">+I960+I969+I978+I987+I996+I1005+I1014</f>
        <v>0</v>
      </c>
      <c r="J951" s="143">
        <f t="shared" si="574"/>
        <v>2380</v>
      </c>
      <c r="K951" s="143">
        <f t="shared" si="574"/>
        <v>0</v>
      </c>
      <c r="L951" s="143">
        <f>SUM(I951:K951)</f>
        <v>2380</v>
      </c>
      <c r="M951" s="114">
        <f t="shared" ref="M951:O952" si="575">+E951-I951</f>
        <v>0</v>
      </c>
      <c r="N951" s="115">
        <f t="shared" si="575"/>
        <v>0</v>
      </c>
      <c r="O951" s="114">
        <f t="shared" si="575"/>
        <v>0</v>
      </c>
      <c r="P951" s="116">
        <f>SUM(M951:O951)</f>
        <v>0</v>
      </c>
      <c r="Q951" s="106"/>
    </row>
    <row r="952" spans="1:17" ht="12.75" customHeight="1">
      <c r="A952" s="113" t="s">
        <v>21</v>
      </c>
      <c r="B952" s="114">
        <f t="shared" si="573"/>
        <v>0</v>
      </c>
      <c r="C952" s="114">
        <f t="shared" si="573"/>
        <v>0</v>
      </c>
      <c r="D952" s="114">
        <f t="shared" si="573"/>
        <v>0</v>
      </c>
      <c r="E952" s="114">
        <f t="shared" si="573"/>
        <v>0</v>
      </c>
      <c r="F952" s="114">
        <f t="shared" si="573"/>
        <v>0</v>
      </c>
      <c r="G952" s="114">
        <f t="shared" si="573"/>
        <v>0</v>
      </c>
      <c r="H952" s="114">
        <f>SUM(E952:G952)</f>
        <v>0</v>
      </c>
      <c r="I952" s="143">
        <f t="shared" si="574"/>
        <v>0</v>
      </c>
      <c r="J952" s="143">
        <f t="shared" si="574"/>
        <v>0</v>
      </c>
      <c r="K952" s="143">
        <f t="shared" si="574"/>
        <v>0</v>
      </c>
      <c r="L952" s="143">
        <f>SUM(I952:K952)</f>
        <v>0</v>
      </c>
      <c r="M952" s="114">
        <f t="shared" si="575"/>
        <v>0</v>
      </c>
      <c r="N952" s="115">
        <f t="shared" si="575"/>
        <v>0</v>
      </c>
      <c r="O952" s="114">
        <f t="shared" si="575"/>
        <v>0</v>
      </c>
      <c r="P952" s="116">
        <f>SUM(M952:O952)</f>
        <v>0</v>
      </c>
      <c r="Q952" s="106"/>
    </row>
    <row r="953" spans="1:17" ht="12.75" customHeight="1">
      <c r="A953" s="149"/>
      <c r="B953" s="150"/>
      <c r="C953" s="150"/>
      <c r="D953" s="150"/>
      <c r="E953" s="114"/>
      <c r="F953" s="114"/>
      <c r="G953" s="114"/>
      <c r="H953" s="114"/>
      <c r="I953" s="43"/>
      <c r="J953" s="43"/>
      <c r="K953" s="43"/>
      <c r="L953" s="78"/>
      <c r="M953" s="114"/>
      <c r="N953" s="115"/>
      <c r="O953" s="114"/>
      <c r="P953" s="116"/>
      <c r="Q953" s="106"/>
    </row>
    <row r="954" spans="1:17" ht="12.75" customHeight="1">
      <c r="A954" s="120" t="s">
        <v>326</v>
      </c>
      <c r="B954" s="102">
        <f>+B955+B959</f>
        <v>156830</v>
      </c>
      <c r="C954" s="102">
        <f>+C955+C959</f>
        <v>1944</v>
      </c>
      <c r="D954" s="102">
        <f>+D955+D959</f>
        <v>158774</v>
      </c>
      <c r="E954" s="102">
        <f t="shared" ref="E954:P954" si="576">+E955+E959</f>
        <v>96632</v>
      </c>
      <c r="F954" s="102">
        <f t="shared" si="576"/>
        <v>50680</v>
      </c>
      <c r="G954" s="102">
        <f t="shared" si="576"/>
        <v>34280</v>
      </c>
      <c r="H954" s="102">
        <f t="shared" si="576"/>
        <v>181592</v>
      </c>
      <c r="I954" s="45">
        <f t="shared" si="576"/>
        <v>93991</v>
      </c>
      <c r="J954" s="45">
        <f t="shared" si="576"/>
        <v>48101</v>
      </c>
      <c r="K954" s="45">
        <f t="shared" si="576"/>
        <v>33296</v>
      </c>
      <c r="L954" s="103">
        <f t="shared" si="576"/>
        <v>175388</v>
      </c>
      <c r="M954" s="102">
        <f t="shared" si="576"/>
        <v>2641</v>
      </c>
      <c r="N954" s="104">
        <f t="shared" si="576"/>
        <v>2579</v>
      </c>
      <c r="O954" s="102">
        <f t="shared" si="576"/>
        <v>984</v>
      </c>
      <c r="P954" s="105">
        <f t="shared" si="576"/>
        <v>6204</v>
      </c>
      <c r="Q954" s="106">
        <f>+L954/H954</f>
        <v>0.96583549936120539</v>
      </c>
    </row>
    <row r="955" spans="1:17" ht="12.75" customHeight="1">
      <c r="A955" s="127" t="s">
        <v>15</v>
      </c>
      <c r="B955" s="108">
        <f>SUM(B956:B958)</f>
        <v>156830</v>
      </c>
      <c r="C955" s="108">
        <f>SUM(C956:C958)</f>
        <v>1944</v>
      </c>
      <c r="D955" s="108">
        <f>SUM(D956:D958)</f>
        <v>158774</v>
      </c>
      <c r="E955" s="108">
        <f t="shared" ref="E955:P955" si="577">SUM(E956:E958)</f>
        <v>96632</v>
      </c>
      <c r="F955" s="108">
        <f t="shared" si="577"/>
        <v>50680</v>
      </c>
      <c r="G955" s="108">
        <f t="shared" si="577"/>
        <v>34280</v>
      </c>
      <c r="H955" s="108">
        <f t="shared" si="577"/>
        <v>181592</v>
      </c>
      <c r="I955" s="109">
        <f>SUM(I956:I958)</f>
        <v>93991</v>
      </c>
      <c r="J955" s="109">
        <f>SUM(J956:J958)</f>
        <v>48101</v>
      </c>
      <c r="K955" s="109">
        <f>SUM(K956:K958)</f>
        <v>33296</v>
      </c>
      <c r="L955" s="110">
        <f>SUM(L956:L958)</f>
        <v>175388</v>
      </c>
      <c r="M955" s="108">
        <f t="shared" si="577"/>
        <v>2641</v>
      </c>
      <c r="N955" s="111">
        <f t="shared" si="577"/>
        <v>2579</v>
      </c>
      <c r="O955" s="108">
        <f t="shared" si="577"/>
        <v>984</v>
      </c>
      <c r="P955" s="112">
        <f t="shared" si="577"/>
        <v>6204</v>
      </c>
      <c r="Q955" s="106"/>
    </row>
    <row r="956" spans="1:17" ht="12.75" customHeight="1">
      <c r="A956" s="113" t="s">
        <v>16</v>
      </c>
      <c r="B956" s="114">
        <v>148983</v>
      </c>
      <c r="C956" s="114"/>
      <c r="D956" s="114">
        <f>+B956+C956</f>
        <v>148983</v>
      </c>
      <c r="E956" s="114">
        <v>86833</v>
      </c>
      <c r="F956" s="114">
        <v>50680</v>
      </c>
      <c r="G956" s="114">
        <v>34280</v>
      </c>
      <c r="H956" s="114">
        <f>SUM(E956:G956)</f>
        <v>171793</v>
      </c>
      <c r="I956" s="43">
        <v>84700</v>
      </c>
      <c r="J956" s="43">
        <v>48101</v>
      </c>
      <c r="K956" s="43">
        <v>33296</v>
      </c>
      <c r="L956" s="78">
        <f>SUM(I956:K956)</f>
        <v>166097</v>
      </c>
      <c r="M956" s="114">
        <f t="shared" ref="M956:O958" si="578">+E956-I956</f>
        <v>2133</v>
      </c>
      <c r="N956" s="115">
        <f t="shared" si="578"/>
        <v>2579</v>
      </c>
      <c r="O956" s="114">
        <f t="shared" si="578"/>
        <v>984</v>
      </c>
      <c r="P956" s="116">
        <f>SUM(M956:O956)</f>
        <v>5696</v>
      </c>
      <c r="Q956" s="106"/>
    </row>
    <row r="957" spans="1:17" ht="12.75" customHeight="1">
      <c r="A957" s="113" t="s">
        <v>17</v>
      </c>
      <c r="B957" s="114"/>
      <c r="C957" s="114">
        <f>+H957</f>
        <v>1944</v>
      </c>
      <c r="D957" s="114">
        <f>+B957+C957</f>
        <v>1944</v>
      </c>
      <c r="E957" s="114">
        <v>1944</v>
      </c>
      <c r="F957" s="114"/>
      <c r="G957" s="114"/>
      <c r="H957" s="114">
        <f>SUM(E957:G957)</f>
        <v>1944</v>
      </c>
      <c r="I957" s="43">
        <v>1843</v>
      </c>
      <c r="J957" s="43"/>
      <c r="K957" s="43"/>
      <c r="L957" s="78">
        <f>SUM(I957:K957)</f>
        <v>1843</v>
      </c>
      <c r="M957" s="114">
        <f t="shared" si="578"/>
        <v>101</v>
      </c>
      <c r="N957" s="115">
        <f t="shared" si="578"/>
        <v>0</v>
      </c>
      <c r="O957" s="114">
        <f t="shared" si="578"/>
        <v>0</v>
      </c>
      <c r="P957" s="116">
        <f>SUM(M957:O957)</f>
        <v>101</v>
      </c>
      <c r="Q957" s="106"/>
    </row>
    <row r="958" spans="1:17" ht="12.75" customHeight="1">
      <c r="A958" s="113" t="s">
        <v>18</v>
      </c>
      <c r="B958" s="114">
        <v>7847</v>
      </c>
      <c r="C958" s="114"/>
      <c r="D958" s="114">
        <f>+B958+C958</f>
        <v>7847</v>
      </c>
      <c r="E958" s="114">
        <v>7855</v>
      </c>
      <c r="F958" s="114"/>
      <c r="G958" s="114"/>
      <c r="H958" s="114">
        <f>SUM(E958:G958)</f>
        <v>7855</v>
      </c>
      <c r="I958" s="43">
        <v>7448</v>
      </c>
      <c r="J958" s="43"/>
      <c r="K958" s="43"/>
      <c r="L958" s="78">
        <f>SUM(I958:K958)</f>
        <v>7448</v>
      </c>
      <c r="M958" s="114">
        <f t="shared" si="578"/>
        <v>407</v>
      </c>
      <c r="N958" s="115">
        <f t="shared" si="578"/>
        <v>0</v>
      </c>
      <c r="O958" s="114">
        <f t="shared" si="578"/>
        <v>0</v>
      </c>
      <c r="P958" s="116">
        <f>SUM(M958:O958)</f>
        <v>407</v>
      </c>
      <c r="Q958" s="106"/>
    </row>
    <row r="959" spans="1:17" ht="12.75" customHeight="1">
      <c r="A959" s="113" t="s">
        <v>19</v>
      </c>
      <c r="B959" s="102">
        <f>SUM(B960:B961)</f>
        <v>0</v>
      </c>
      <c r="C959" s="102">
        <f>SUM(C960:C961)</f>
        <v>0</v>
      </c>
      <c r="D959" s="102">
        <f>SUM(D960:D961)</f>
        <v>0</v>
      </c>
      <c r="E959" s="102">
        <f t="shared" ref="E959:P959" si="579">SUM(E960:E961)</f>
        <v>0</v>
      </c>
      <c r="F959" s="102">
        <f t="shared" si="579"/>
        <v>0</v>
      </c>
      <c r="G959" s="102">
        <f t="shared" si="579"/>
        <v>0</v>
      </c>
      <c r="H959" s="102">
        <f t="shared" si="579"/>
        <v>0</v>
      </c>
      <c r="I959" s="45">
        <f>SUM(I960:I961)</f>
        <v>0</v>
      </c>
      <c r="J959" s="45">
        <f>SUM(J960:J961)</f>
        <v>0</v>
      </c>
      <c r="K959" s="45">
        <f>SUM(K960:K961)</f>
        <v>0</v>
      </c>
      <c r="L959" s="103">
        <f>SUM(L960:L961)</f>
        <v>0</v>
      </c>
      <c r="M959" s="102">
        <f t="shared" si="579"/>
        <v>0</v>
      </c>
      <c r="N959" s="104">
        <f t="shared" si="579"/>
        <v>0</v>
      </c>
      <c r="O959" s="102">
        <f t="shared" si="579"/>
        <v>0</v>
      </c>
      <c r="P959" s="105">
        <f t="shared" si="579"/>
        <v>0</v>
      </c>
      <c r="Q959" s="106"/>
    </row>
    <row r="960" spans="1:17" ht="12.75" customHeight="1">
      <c r="A960" s="113" t="s">
        <v>20</v>
      </c>
      <c r="B960" s="114"/>
      <c r="C960" s="114"/>
      <c r="D960" s="114">
        <f>+B960+C960</f>
        <v>0</v>
      </c>
      <c r="E960" s="114"/>
      <c r="F960" s="114"/>
      <c r="G960" s="114"/>
      <c r="H960" s="114">
        <f>SUM(E960:G960)</f>
        <v>0</v>
      </c>
      <c r="I960" s="43"/>
      <c r="J960" s="43"/>
      <c r="K960" s="43"/>
      <c r="L960" s="78">
        <f>SUM(I960:K960)</f>
        <v>0</v>
      </c>
      <c r="M960" s="114">
        <f t="shared" ref="M960:O961" si="580">+E960-I960</f>
        <v>0</v>
      </c>
      <c r="N960" s="115">
        <f t="shared" si="580"/>
        <v>0</v>
      </c>
      <c r="O960" s="114">
        <f t="shared" si="580"/>
        <v>0</v>
      </c>
      <c r="P960" s="116">
        <f>SUM(M960:O960)</f>
        <v>0</v>
      </c>
      <c r="Q960" s="106"/>
    </row>
    <row r="961" spans="1:17" ht="12.75" customHeight="1">
      <c r="A961" s="113" t="s">
        <v>21</v>
      </c>
      <c r="B961" s="114"/>
      <c r="C961" s="114">
        <f>+H961</f>
        <v>0</v>
      </c>
      <c r="D961" s="114">
        <f>+B961+C961</f>
        <v>0</v>
      </c>
      <c r="E961" s="114"/>
      <c r="F961" s="114"/>
      <c r="G961" s="114"/>
      <c r="H961" s="114">
        <f>SUM(E961:G961)</f>
        <v>0</v>
      </c>
      <c r="I961" s="43"/>
      <c r="J961" s="43"/>
      <c r="K961" s="43"/>
      <c r="L961" s="78">
        <f>SUM(I961:K961)</f>
        <v>0</v>
      </c>
      <c r="M961" s="114">
        <f t="shared" si="580"/>
        <v>0</v>
      </c>
      <c r="N961" s="115">
        <f t="shared" si="580"/>
        <v>0</v>
      </c>
      <c r="O961" s="114">
        <f t="shared" si="580"/>
        <v>0</v>
      </c>
      <c r="P961" s="116">
        <f>SUM(M961:O961)</f>
        <v>0</v>
      </c>
      <c r="Q961" s="106"/>
    </row>
    <row r="962" spans="1:17" ht="12.75" customHeight="1">
      <c r="A962" s="121"/>
      <c r="B962" s="122"/>
      <c r="C962" s="122"/>
      <c r="D962" s="122"/>
      <c r="E962" s="114"/>
      <c r="F962" s="114"/>
      <c r="G962" s="114"/>
      <c r="H962" s="114"/>
      <c r="I962" s="43"/>
      <c r="J962" s="43"/>
      <c r="K962" s="43"/>
      <c r="L962" s="78"/>
      <c r="M962" s="114"/>
      <c r="N962" s="115"/>
      <c r="O962" s="114"/>
      <c r="P962" s="116"/>
      <c r="Q962" s="106"/>
    </row>
    <row r="963" spans="1:17" ht="12.75" customHeight="1">
      <c r="A963" s="120" t="s">
        <v>327</v>
      </c>
      <c r="B963" s="102">
        <f>+B964+B968</f>
        <v>47185</v>
      </c>
      <c r="C963" s="102">
        <f>+C964+C968</f>
        <v>1823</v>
      </c>
      <c r="D963" s="102">
        <f>+D964+D968</f>
        <v>49008</v>
      </c>
      <c r="E963" s="102">
        <f t="shared" ref="E963:P963" si="581">+E964+E968</f>
        <v>32864</v>
      </c>
      <c r="F963" s="102">
        <f t="shared" si="581"/>
        <v>16144</v>
      </c>
      <c r="G963" s="102">
        <f t="shared" si="581"/>
        <v>0</v>
      </c>
      <c r="H963" s="102">
        <f t="shared" si="581"/>
        <v>49008</v>
      </c>
      <c r="I963" s="45">
        <f t="shared" si="581"/>
        <v>32723</v>
      </c>
      <c r="J963" s="45">
        <f t="shared" si="581"/>
        <v>15966</v>
      </c>
      <c r="K963" s="45">
        <f t="shared" si="581"/>
        <v>0</v>
      </c>
      <c r="L963" s="103">
        <f t="shared" si="581"/>
        <v>48689</v>
      </c>
      <c r="M963" s="102">
        <f t="shared" si="581"/>
        <v>141</v>
      </c>
      <c r="N963" s="104">
        <f t="shared" si="581"/>
        <v>178</v>
      </c>
      <c r="O963" s="102">
        <f t="shared" si="581"/>
        <v>0</v>
      </c>
      <c r="P963" s="105">
        <f t="shared" si="581"/>
        <v>319</v>
      </c>
      <c r="Q963" s="106">
        <f>+L963/H963</f>
        <v>0.99349085863532482</v>
      </c>
    </row>
    <row r="964" spans="1:17" ht="12.75" customHeight="1">
      <c r="A964" s="127" t="s">
        <v>15</v>
      </c>
      <c r="B964" s="108">
        <f>SUM(B965:B967)</f>
        <v>47185</v>
      </c>
      <c r="C964" s="108">
        <f>SUM(C965:C967)</f>
        <v>1823</v>
      </c>
      <c r="D964" s="108">
        <f>SUM(D965:D967)</f>
        <v>49008</v>
      </c>
      <c r="E964" s="108">
        <f t="shared" ref="E964:P964" si="582">SUM(E965:E967)</f>
        <v>32864</v>
      </c>
      <c r="F964" s="108">
        <f t="shared" si="582"/>
        <v>16144</v>
      </c>
      <c r="G964" s="108">
        <f t="shared" si="582"/>
        <v>0</v>
      </c>
      <c r="H964" s="108">
        <f t="shared" si="582"/>
        <v>49008</v>
      </c>
      <c r="I964" s="109">
        <f>SUM(I965:I967)</f>
        <v>32723</v>
      </c>
      <c r="J964" s="109">
        <f>SUM(J965:J967)</f>
        <v>15966</v>
      </c>
      <c r="K964" s="109">
        <f>SUM(K965:K967)</f>
        <v>0</v>
      </c>
      <c r="L964" s="110">
        <f>SUM(L965:L967)</f>
        <v>48689</v>
      </c>
      <c r="M964" s="108">
        <f t="shared" si="582"/>
        <v>141</v>
      </c>
      <c r="N964" s="111">
        <f t="shared" si="582"/>
        <v>178</v>
      </c>
      <c r="O964" s="108">
        <f t="shared" si="582"/>
        <v>0</v>
      </c>
      <c r="P964" s="112">
        <f t="shared" si="582"/>
        <v>319</v>
      </c>
      <c r="Q964" s="106"/>
    </row>
    <row r="965" spans="1:17" ht="12.75" customHeight="1">
      <c r="A965" s="113" t="s">
        <v>16</v>
      </c>
      <c r="B965" s="114">
        <v>44573</v>
      </c>
      <c r="C965" s="114"/>
      <c r="D965" s="114">
        <f>+B965+C965</f>
        <v>44573</v>
      </c>
      <c r="E965" s="114">
        <v>28429</v>
      </c>
      <c r="F965" s="114">
        <v>16144</v>
      </c>
      <c r="G965" s="114"/>
      <c r="H965" s="114">
        <f>SUM(E965:G965)</f>
        <v>44573</v>
      </c>
      <c r="I965" s="43">
        <v>28429</v>
      </c>
      <c r="J965" s="43">
        <v>15966</v>
      </c>
      <c r="K965" s="43"/>
      <c r="L965" s="78">
        <f>SUM(I965:K965)</f>
        <v>44395</v>
      </c>
      <c r="M965" s="114">
        <f t="shared" ref="M965:O967" si="583">+E965-I965</f>
        <v>0</v>
      </c>
      <c r="N965" s="115">
        <f t="shared" si="583"/>
        <v>178</v>
      </c>
      <c r="O965" s="114">
        <f t="shared" si="583"/>
        <v>0</v>
      </c>
      <c r="P965" s="116">
        <f>SUM(M965:O965)</f>
        <v>178</v>
      </c>
      <c r="Q965" s="106"/>
    </row>
    <row r="966" spans="1:17" ht="12.75" customHeight="1">
      <c r="A966" s="113" t="s">
        <v>17</v>
      </c>
      <c r="B966" s="114"/>
      <c r="C966" s="114">
        <f>+H966</f>
        <v>1823</v>
      </c>
      <c r="D966" s="114">
        <f>+C966</f>
        <v>1823</v>
      </c>
      <c r="E966" s="114">
        <v>1823</v>
      </c>
      <c r="F966" s="114"/>
      <c r="G966" s="114"/>
      <c r="H966" s="114">
        <f>SUM(E966:G966)</f>
        <v>1823</v>
      </c>
      <c r="I966" s="43">
        <v>1823</v>
      </c>
      <c r="J966" s="43"/>
      <c r="K966" s="43"/>
      <c r="L966" s="78">
        <f>SUM(I966:K966)</f>
        <v>1823</v>
      </c>
      <c r="M966" s="114">
        <f t="shared" si="583"/>
        <v>0</v>
      </c>
      <c r="N966" s="115">
        <f t="shared" si="583"/>
        <v>0</v>
      </c>
      <c r="O966" s="114">
        <f t="shared" si="583"/>
        <v>0</v>
      </c>
      <c r="P966" s="116">
        <f>SUM(M966:O966)</f>
        <v>0</v>
      </c>
      <c r="Q966" s="106"/>
    </row>
    <row r="967" spans="1:17" ht="12.75" customHeight="1">
      <c r="A967" s="113" t="s">
        <v>18</v>
      </c>
      <c r="B967" s="114">
        <v>2612</v>
      </c>
      <c r="C967" s="114"/>
      <c r="D967" s="114">
        <f>+B967+C967</f>
        <v>2612</v>
      </c>
      <c r="E967" s="114">
        <v>2612</v>
      </c>
      <c r="F967" s="114"/>
      <c r="G967" s="114"/>
      <c r="H967" s="114">
        <f>SUM(E967:G967)</f>
        <v>2612</v>
      </c>
      <c r="I967" s="43">
        <v>2471</v>
      </c>
      <c r="J967" s="43"/>
      <c r="K967" s="43"/>
      <c r="L967" s="78">
        <f>SUM(I967:K967)</f>
        <v>2471</v>
      </c>
      <c r="M967" s="114">
        <f t="shared" si="583"/>
        <v>141</v>
      </c>
      <c r="N967" s="115">
        <f t="shared" si="583"/>
        <v>0</v>
      </c>
      <c r="O967" s="114">
        <f t="shared" si="583"/>
        <v>0</v>
      </c>
      <c r="P967" s="116">
        <f>SUM(M967:O967)</f>
        <v>141</v>
      </c>
      <c r="Q967" s="106"/>
    </row>
    <row r="968" spans="1:17" ht="12.75" customHeight="1">
      <c r="A968" s="113" t="s">
        <v>19</v>
      </c>
      <c r="B968" s="102">
        <f>SUM(B969:B970)</f>
        <v>0</v>
      </c>
      <c r="C968" s="102">
        <f>SUM(C969:C970)</f>
        <v>0</v>
      </c>
      <c r="D968" s="102">
        <f>SUM(D969:D970)</f>
        <v>0</v>
      </c>
      <c r="E968" s="102">
        <f t="shared" ref="E968:P968" si="584">SUM(E969:E970)</f>
        <v>0</v>
      </c>
      <c r="F968" s="102">
        <f t="shared" si="584"/>
        <v>0</v>
      </c>
      <c r="G968" s="102">
        <f t="shared" si="584"/>
        <v>0</v>
      </c>
      <c r="H968" s="102">
        <f t="shared" si="584"/>
        <v>0</v>
      </c>
      <c r="I968" s="45">
        <f>SUM(I969:I970)</f>
        <v>0</v>
      </c>
      <c r="J968" s="45">
        <f>SUM(J969:J970)</f>
        <v>0</v>
      </c>
      <c r="K968" s="45">
        <f>SUM(K969:K970)</f>
        <v>0</v>
      </c>
      <c r="L968" s="103">
        <f>SUM(L969:L970)</f>
        <v>0</v>
      </c>
      <c r="M968" s="102">
        <f t="shared" si="584"/>
        <v>0</v>
      </c>
      <c r="N968" s="104">
        <f t="shared" si="584"/>
        <v>0</v>
      </c>
      <c r="O968" s="102">
        <f t="shared" si="584"/>
        <v>0</v>
      </c>
      <c r="P968" s="105">
        <f t="shared" si="584"/>
        <v>0</v>
      </c>
      <c r="Q968" s="106"/>
    </row>
    <row r="969" spans="1:17" ht="12.75" customHeight="1">
      <c r="A969" s="113" t="s">
        <v>20</v>
      </c>
      <c r="B969" s="114"/>
      <c r="C969" s="114"/>
      <c r="D969" s="114">
        <f>+B969+C969</f>
        <v>0</v>
      </c>
      <c r="E969" s="114"/>
      <c r="F969" s="114"/>
      <c r="G969" s="114"/>
      <c r="H969" s="114">
        <f>SUM(E969:G969)</f>
        <v>0</v>
      </c>
      <c r="I969" s="43"/>
      <c r="J969" s="43"/>
      <c r="K969" s="43"/>
      <c r="L969" s="78">
        <f>SUM(I969:K969)</f>
        <v>0</v>
      </c>
      <c r="M969" s="114">
        <f t="shared" ref="M969:O970" si="585">+E969-I969</f>
        <v>0</v>
      </c>
      <c r="N969" s="115">
        <f t="shared" si="585"/>
        <v>0</v>
      </c>
      <c r="O969" s="114">
        <f t="shared" si="585"/>
        <v>0</v>
      </c>
      <c r="P969" s="116">
        <f>SUM(M969:O969)</f>
        <v>0</v>
      </c>
      <c r="Q969" s="106"/>
    </row>
    <row r="970" spans="1:17" ht="12.75" customHeight="1">
      <c r="A970" s="113" t="s">
        <v>21</v>
      </c>
      <c r="B970" s="114"/>
      <c r="C970" s="114">
        <f>+H970</f>
        <v>0</v>
      </c>
      <c r="D970" s="114">
        <f>+B970+C970</f>
        <v>0</v>
      </c>
      <c r="E970" s="114"/>
      <c r="F970" s="114"/>
      <c r="G970" s="114"/>
      <c r="H970" s="114">
        <f>SUM(E970:G970)</f>
        <v>0</v>
      </c>
      <c r="I970" s="43"/>
      <c r="J970" s="43"/>
      <c r="K970" s="43"/>
      <c r="L970" s="78">
        <f>SUM(I970:K970)</f>
        <v>0</v>
      </c>
      <c r="M970" s="114">
        <f t="shared" si="585"/>
        <v>0</v>
      </c>
      <c r="N970" s="115">
        <f t="shared" si="585"/>
        <v>0</v>
      </c>
      <c r="O970" s="114">
        <f t="shared" si="585"/>
        <v>0</v>
      </c>
      <c r="P970" s="116">
        <f>SUM(M970:O970)</f>
        <v>0</v>
      </c>
      <c r="Q970" s="106"/>
    </row>
    <row r="971" spans="1:17" ht="12.75" customHeight="1">
      <c r="A971" s="121"/>
      <c r="B971" s="122"/>
      <c r="C971" s="122"/>
      <c r="D971" s="122"/>
      <c r="E971" s="114"/>
      <c r="F971" s="114"/>
      <c r="G971" s="114"/>
      <c r="H971" s="114"/>
      <c r="I971" s="43"/>
      <c r="J971" s="43"/>
      <c r="K971" s="43"/>
      <c r="L971" s="78"/>
      <c r="M971" s="114"/>
      <c r="N971" s="115"/>
      <c r="O971" s="114"/>
      <c r="P971" s="116"/>
      <c r="Q971" s="106"/>
    </row>
    <row r="972" spans="1:17" ht="12.75" customHeight="1">
      <c r="A972" s="120" t="s">
        <v>328</v>
      </c>
      <c r="B972" s="102">
        <f>+B973+B977</f>
        <v>392009</v>
      </c>
      <c r="C972" s="102">
        <f>+C973+C977</f>
        <v>43206</v>
      </c>
      <c r="D972" s="102">
        <f>+D973+D977</f>
        <v>435215</v>
      </c>
      <c r="E972" s="102">
        <f t="shared" ref="E972:P972" si="586">+E973+E977</f>
        <v>328033</v>
      </c>
      <c r="F972" s="102">
        <f t="shared" si="586"/>
        <v>95617</v>
      </c>
      <c r="G972" s="102">
        <f t="shared" si="586"/>
        <v>70169</v>
      </c>
      <c r="H972" s="102">
        <f t="shared" si="586"/>
        <v>493819</v>
      </c>
      <c r="I972" s="45">
        <f t="shared" si="586"/>
        <v>325580</v>
      </c>
      <c r="J972" s="45">
        <f t="shared" si="586"/>
        <v>87554</v>
      </c>
      <c r="K972" s="45">
        <f t="shared" si="586"/>
        <v>13235</v>
      </c>
      <c r="L972" s="103">
        <f t="shared" si="586"/>
        <v>426369</v>
      </c>
      <c r="M972" s="102">
        <f t="shared" si="586"/>
        <v>2453</v>
      </c>
      <c r="N972" s="104">
        <f t="shared" si="586"/>
        <v>8063</v>
      </c>
      <c r="O972" s="102">
        <f t="shared" si="586"/>
        <v>56934</v>
      </c>
      <c r="P972" s="105">
        <f t="shared" si="586"/>
        <v>67450</v>
      </c>
      <c r="Q972" s="106">
        <f>+L972/H972</f>
        <v>0.86341149287491981</v>
      </c>
    </row>
    <row r="973" spans="1:17" ht="12.75" customHeight="1">
      <c r="A973" s="127" t="s">
        <v>15</v>
      </c>
      <c r="B973" s="108">
        <f>SUM(B974:B976)</f>
        <v>392009</v>
      </c>
      <c r="C973" s="108">
        <f>SUM(C974:C976)</f>
        <v>43206</v>
      </c>
      <c r="D973" s="108">
        <f>SUM(D974:D976)</f>
        <v>435215</v>
      </c>
      <c r="E973" s="108">
        <f t="shared" ref="E973:P973" si="587">SUM(E974:E976)</f>
        <v>328033</v>
      </c>
      <c r="F973" s="108">
        <f t="shared" si="587"/>
        <v>93237</v>
      </c>
      <c r="G973" s="108">
        <f t="shared" si="587"/>
        <v>70169</v>
      </c>
      <c r="H973" s="108">
        <f t="shared" si="587"/>
        <v>491439</v>
      </c>
      <c r="I973" s="109">
        <f>SUM(I974:I976)</f>
        <v>325580</v>
      </c>
      <c r="J973" s="109">
        <f>SUM(J974:J976)</f>
        <v>85174</v>
      </c>
      <c r="K973" s="109">
        <f>SUM(K974:K976)</f>
        <v>13235</v>
      </c>
      <c r="L973" s="110">
        <f>SUM(L974:L976)</f>
        <v>423989</v>
      </c>
      <c r="M973" s="108">
        <f t="shared" si="587"/>
        <v>2453</v>
      </c>
      <c r="N973" s="111">
        <f t="shared" si="587"/>
        <v>8063</v>
      </c>
      <c r="O973" s="108">
        <f t="shared" si="587"/>
        <v>56934</v>
      </c>
      <c r="P973" s="112">
        <f t="shared" si="587"/>
        <v>67450</v>
      </c>
      <c r="Q973" s="106"/>
    </row>
    <row r="974" spans="1:17" ht="12.75" customHeight="1">
      <c r="A974" s="113" t="s">
        <v>16</v>
      </c>
      <c r="B974" s="114">
        <v>368598</v>
      </c>
      <c r="C974" s="114"/>
      <c r="D974" s="114">
        <f>+B974+C974</f>
        <v>368598</v>
      </c>
      <c r="E974" s="114">
        <v>259461</v>
      </c>
      <c r="F974" s="114">
        <v>93237</v>
      </c>
      <c r="G974" s="114">
        <v>70169</v>
      </c>
      <c r="H974" s="114">
        <f>SUM(E974:G974)</f>
        <v>422867</v>
      </c>
      <c r="I974" s="43">
        <v>259460</v>
      </c>
      <c r="J974" s="43">
        <v>85174</v>
      </c>
      <c r="K974" s="43">
        <v>13235</v>
      </c>
      <c r="L974" s="78">
        <f>SUM(I974:K974)</f>
        <v>357869</v>
      </c>
      <c r="M974" s="114">
        <f t="shared" ref="M974:O976" si="588">+E974-I974</f>
        <v>1</v>
      </c>
      <c r="N974" s="115">
        <f t="shared" si="588"/>
        <v>8063</v>
      </c>
      <c r="O974" s="114">
        <f t="shared" si="588"/>
        <v>56934</v>
      </c>
      <c r="P974" s="116">
        <f>SUM(M974:O974)</f>
        <v>64998</v>
      </c>
      <c r="Q974" s="106"/>
    </row>
    <row r="975" spans="1:17" ht="12.75" customHeight="1">
      <c r="A975" s="113" t="s">
        <v>17</v>
      </c>
      <c r="B975" s="114"/>
      <c r="C975" s="114">
        <f>+H975</f>
        <v>43206</v>
      </c>
      <c r="D975" s="114">
        <f>+B975+C975</f>
        <v>43206</v>
      </c>
      <c r="E975" s="114">
        <v>43206</v>
      </c>
      <c r="F975" s="114"/>
      <c r="G975" s="114"/>
      <c r="H975" s="114">
        <f>SUM(E975:G975)</f>
        <v>43206</v>
      </c>
      <c r="I975" s="43">
        <v>42787</v>
      </c>
      <c r="J975" s="43"/>
      <c r="K975" s="43"/>
      <c r="L975" s="78">
        <f>SUM(I975:K975)</f>
        <v>42787</v>
      </c>
      <c r="M975" s="114">
        <f t="shared" si="588"/>
        <v>419</v>
      </c>
      <c r="N975" s="115">
        <f t="shared" si="588"/>
        <v>0</v>
      </c>
      <c r="O975" s="114">
        <f t="shared" si="588"/>
        <v>0</v>
      </c>
      <c r="P975" s="116">
        <f>SUM(M975:O975)</f>
        <v>419</v>
      </c>
      <c r="Q975" s="106"/>
    </row>
    <row r="976" spans="1:17" ht="12.75" customHeight="1">
      <c r="A976" s="113" t="s">
        <v>18</v>
      </c>
      <c r="B976" s="114">
        <v>23411</v>
      </c>
      <c r="C976" s="114"/>
      <c r="D976" s="114">
        <f>+B976+C976</f>
        <v>23411</v>
      </c>
      <c r="E976" s="114">
        <v>25366</v>
      </c>
      <c r="F976" s="114"/>
      <c r="G976" s="114"/>
      <c r="H976" s="114">
        <f>SUM(E976:G976)</f>
        <v>25366</v>
      </c>
      <c r="I976" s="43">
        <v>23333</v>
      </c>
      <c r="J976" s="43"/>
      <c r="K976" s="43"/>
      <c r="L976" s="78">
        <f>SUM(I976:K976)</f>
        <v>23333</v>
      </c>
      <c r="M976" s="114">
        <f t="shared" si="588"/>
        <v>2033</v>
      </c>
      <c r="N976" s="115">
        <f t="shared" si="588"/>
        <v>0</v>
      </c>
      <c r="O976" s="114">
        <f t="shared" si="588"/>
        <v>0</v>
      </c>
      <c r="P976" s="116">
        <f>SUM(M976:O976)</f>
        <v>2033</v>
      </c>
      <c r="Q976" s="106"/>
    </row>
    <row r="977" spans="1:17" ht="12.75" customHeight="1">
      <c r="A977" s="113" t="s">
        <v>19</v>
      </c>
      <c r="B977" s="102">
        <f>SUM(B978:B979)</f>
        <v>0</v>
      </c>
      <c r="C977" s="102">
        <f>SUM(C978:C979)</f>
        <v>0</v>
      </c>
      <c r="D977" s="102">
        <f>SUM(D978:D979)</f>
        <v>0</v>
      </c>
      <c r="E977" s="102">
        <f t="shared" ref="E977:P977" si="589">SUM(E978:E979)</f>
        <v>0</v>
      </c>
      <c r="F977" s="102">
        <f t="shared" si="589"/>
        <v>2380</v>
      </c>
      <c r="G977" s="102">
        <f t="shared" si="589"/>
        <v>0</v>
      </c>
      <c r="H977" s="102">
        <f t="shared" si="589"/>
        <v>2380</v>
      </c>
      <c r="I977" s="45">
        <f t="shared" si="589"/>
        <v>0</v>
      </c>
      <c r="J977" s="45">
        <f t="shared" si="589"/>
        <v>2380</v>
      </c>
      <c r="K977" s="45">
        <f t="shared" si="589"/>
        <v>0</v>
      </c>
      <c r="L977" s="103">
        <f t="shared" si="589"/>
        <v>2380</v>
      </c>
      <c r="M977" s="102">
        <f t="shared" si="589"/>
        <v>0</v>
      </c>
      <c r="N977" s="104">
        <f t="shared" si="589"/>
        <v>0</v>
      </c>
      <c r="O977" s="102">
        <f t="shared" si="589"/>
        <v>0</v>
      </c>
      <c r="P977" s="105">
        <f t="shared" si="589"/>
        <v>0</v>
      </c>
      <c r="Q977" s="106"/>
    </row>
    <row r="978" spans="1:17" ht="12.75" customHeight="1">
      <c r="A978" s="113" t="s">
        <v>20</v>
      </c>
      <c r="B978" s="114"/>
      <c r="C978" s="114"/>
      <c r="D978" s="114">
        <f>+B978+C978</f>
        <v>0</v>
      </c>
      <c r="E978" s="114"/>
      <c r="F978" s="114">
        <f>2190+190</f>
        <v>2380</v>
      </c>
      <c r="G978" s="114"/>
      <c r="H978" s="114">
        <f>SUM(E978:G978)</f>
        <v>2380</v>
      </c>
      <c r="I978" s="43"/>
      <c r="J978" s="43">
        <v>2380</v>
      </c>
      <c r="K978" s="43"/>
      <c r="L978" s="78">
        <f>SUM(I978:K978)</f>
        <v>2380</v>
      </c>
      <c r="M978" s="114">
        <f t="shared" ref="M978:O979" si="590">+E978-I978</f>
        <v>0</v>
      </c>
      <c r="N978" s="115">
        <f t="shared" si="590"/>
        <v>0</v>
      </c>
      <c r="O978" s="114">
        <f t="shared" si="590"/>
        <v>0</v>
      </c>
      <c r="P978" s="116">
        <f>SUM(M978:O978)</f>
        <v>0</v>
      </c>
      <c r="Q978" s="106"/>
    </row>
    <row r="979" spans="1:17" ht="12.75" customHeight="1">
      <c r="A979" s="113" t="s">
        <v>21</v>
      </c>
      <c r="B979" s="114"/>
      <c r="C979" s="114"/>
      <c r="D979" s="114">
        <f>+B979+C979</f>
        <v>0</v>
      </c>
      <c r="E979" s="114"/>
      <c r="F979" s="114"/>
      <c r="G979" s="114"/>
      <c r="H979" s="114">
        <f>SUM(E979:G979)</f>
        <v>0</v>
      </c>
      <c r="I979" s="43"/>
      <c r="J979" s="43"/>
      <c r="K979" s="43"/>
      <c r="L979" s="78">
        <f>SUM(I979:K979)</f>
        <v>0</v>
      </c>
      <c r="M979" s="114">
        <f t="shared" si="590"/>
        <v>0</v>
      </c>
      <c r="N979" s="115">
        <f t="shared" si="590"/>
        <v>0</v>
      </c>
      <c r="O979" s="114">
        <f t="shared" si="590"/>
        <v>0</v>
      </c>
      <c r="P979" s="116">
        <f>SUM(M979:O979)</f>
        <v>0</v>
      </c>
      <c r="Q979" s="106"/>
    </row>
    <row r="980" spans="1:17" ht="12.75" customHeight="1">
      <c r="A980" s="121"/>
      <c r="B980" s="122"/>
      <c r="C980" s="122"/>
      <c r="D980" s="122"/>
      <c r="E980" s="114"/>
      <c r="F980" s="114"/>
      <c r="G980" s="114"/>
      <c r="H980" s="114"/>
      <c r="I980" s="43"/>
      <c r="J980" s="43"/>
      <c r="K980" s="43"/>
      <c r="L980" s="78"/>
      <c r="M980" s="114"/>
      <c r="N980" s="115"/>
      <c r="O980" s="114"/>
      <c r="P980" s="116"/>
      <c r="Q980" s="106"/>
    </row>
    <row r="981" spans="1:17">
      <c r="A981" s="237" t="s">
        <v>329</v>
      </c>
      <c r="B981" s="102">
        <f>+B982+B986</f>
        <v>174990</v>
      </c>
      <c r="C981" s="102">
        <f>+C982+C986</f>
        <v>20147</v>
      </c>
      <c r="D981" s="102">
        <f>+D982+D986</f>
        <v>195137</v>
      </c>
      <c r="E981" s="102">
        <f t="shared" ref="E981:P981" si="591">+E982+E986</f>
        <v>118911</v>
      </c>
      <c r="F981" s="102">
        <f t="shared" si="591"/>
        <v>67468</v>
      </c>
      <c r="G981" s="102">
        <f t="shared" si="591"/>
        <v>41746</v>
      </c>
      <c r="H981" s="102">
        <f t="shared" si="591"/>
        <v>228125</v>
      </c>
      <c r="I981" s="45">
        <f t="shared" si="591"/>
        <v>118580</v>
      </c>
      <c r="J981" s="45">
        <f t="shared" si="591"/>
        <v>66104</v>
      </c>
      <c r="K981" s="45">
        <f t="shared" si="591"/>
        <v>41746</v>
      </c>
      <c r="L981" s="103">
        <f t="shared" si="591"/>
        <v>226430</v>
      </c>
      <c r="M981" s="102">
        <f t="shared" si="591"/>
        <v>331</v>
      </c>
      <c r="N981" s="104">
        <f t="shared" si="591"/>
        <v>1364</v>
      </c>
      <c r="O981" s="102">
        <f t="shared" si="591"/>
        <v>0</v>
      </c>
      <c r="P981" s="105">
        <f t="shared" si="591"/>
        <v>1695</v>
      </c>
      <c r="Q981" s="106">
        <f>+L981/H981</f>
        <v>0.99256986301369865</v>
      </c>
    </row>
    <row r="982" spans="1:17" ht="12.75" customHeight="1">
      <c r="A982" s="127" t="s">
        <v>15</v>
      </c>
      <c r="B982" s="108">
        <f>SUM(B983:B985)</f>
        <v>174990</v>
      </c>
      <c r="C982" s="108">
        <f>SUM(C983:C985)</f>
        <v>20147</v>
      </c>
      <c r="D982" s="108">
        <f>SUM(D983:D985)</f>
        <v>195137</v>
      </c>
      <c r="E982" s="108">
        <f t="shared" ref="E982:P982" si="592">SUM(E983:E985)</f>
        <v>118911</v>
      </c>
      <c r="F982" s="108">
        <f t="shared" si="592"/>
        <v>67468</v>
      </c>
      <c r="G982" s="108">
        <f t="shared" si="592"/>
        <v>41746</v>
      </c>
      <c r="H982" s="108">
        <f t="shared" si="592"/>
        <v>228125</v>
      </c>
      <c r="I982" s="109">
        <f>SUM(I983:I985)</f>
        <v>118580</v>
      </c>
      <c r="J982" s="109">
        <f>SUM(J983:J985)</f>
        <v>66104</v>
      </c>
      <c r="K982" s="109">
        <f>SUM(K983:K985)</f>
        <v>41746</v>
      </c>
      <c r="L982" s="110">
        <f>SUM(L983:L985)</f>
        <v>226430</v>
      </c>
      <c r="M982" s="108">
        <f t="shared" si="592"/>
        <v>331</v>
      </c>
      <c r="N982" s="111">
        <f t="shared" si="592"/>
        <v>1364</v>
      </c>
      <c r="O982" s="108">
        <f t="shared" si="592"/>
        <v>0</v>
      </c>
      <c r="P982" s="112">
        <f t="shared" si="592"/>
        <v>1695</v>
      </c>
      <c r="Q982" s="106"/>
    </row>
    <row r="983" spans="1:17" ht="12.75" customHeight="1">
      <c r="A983" s="113" t="s">
        <v>16</v>
      </c>
      <c r="B983" s="114">
        <v>167062</v>
      </c>
      <c r="C983" s="114"/>
      <c r="D983" s="114">
        <f>+B983+C983</f>
        <v>167062</v>
      </c>
      <c r="E983" s="114">
        <v>90294</v>
      </c>
      <c r="F983" s="114">
        <v>67468</v>
      </c>
      <c r="G983" s="114">
        <v>41746</v>
      </c>
      <c r="H983" s="114">
        <f>SUM(E983:G983)</f>
        <v>199508</v>
      </c>
      <c r="I983" s="43">
        <f>90307-13</f>
        <v>90294</v>
      </c>
      <c r="J983" s="43">
        <v>66104</v>
      </c>
      <c r="K983" s="43">
        <v>41746</v>
      </c>
      <c r="L983" s="78">
        <f>SUM(I983:K983)</f>
        <v>198144</v>
      </c>
      <c r="M983" s="114">
        <f t="shared" ref="M983:O985" si="593">+E983-I983</f>
        <v>0</v>
      </c>
      <c r="N983" s="115">
        <f t="shared" si="593"/>
        <v>1364</v>
      </c>
      <c r="O983" s="114">
        <f t="shared" si="593"/>
        <v>0</v>
      </c>
      <c r="P983" s="116">
        <f>SUM(M983:O983)</f>
        <v>1364</v>
      </c>
      <c r="Q983" s="106"/>
    </row>
    <row r="984" spans="1:17" ht="12.75" customHeight="1">
      <c r="A984" s="113" t="s">
        <v>17</v>
      </c>
      <c r="B984" s="114"/>
      <c r="C984" s="114">
        <f>+H984</f>
        <v>20147</v>
      </c>
      <c r="D984" s="114">
        <f>+B984+C984</f>
        <v>20147</v>
      </c>
      <c r="E984" s="114">
        <v>20147</v>
      </c>
      <c r="F984" s="114"/>
      <c r="G984" s="114"/>
      <c r="H984" s="114">
        <f>SUM(E984:G984)</f>
        <v>20147</v>
      </c>
      <c r="I984" s="43">
        <v>20147</v>
      </c>
      <c r="J984" s="43"/>
      <c r="K984" s="43"/>
      <c r="L984" s="78">
        <f>SUM(I984:K984)</f>
        <v>20147</v>
      </c>
      <c r="M984" s="114">
        <f t="shared" si="593"/>
        <v>0</v>
      </c>
      <c r="N984" s="115">
        <f t="shared" si="593"/>
        <v>0</v>
      </c>
      <c r="O984" s="114">
        <f t="shared" si="593"/>
        <v>0</v>
      </c>
      <c r="P984" s="116">
        <f>SUM(M984:O984)</f>
        <v>0</v>
      </c>
      <c r="Q984" s="106"/>
    </row>
    <row r="985" spans="1:17" ht="12.75" customHeight="1">
      <c r="A985" s="113" t="s">
        <v>18</v>
      </c>
      <c r="B985" s="114">
        <v>7928</v>
      </c>
      <c r="C985" s="114"/>
      <c r="D985" s="114">
        <f>+B985+C985</f>
        <v>7928</v>
      </c>
      <c r="E985" s="114">
        <v>8470</v>
      </c>
      <c r="F985" s="114"/>
      <c r="G985" s="114"/>
      <c r="H985" s="114">
        <f>SUM(E985:G985)</f>
        <v>8470</v>
      </c>
      <c r="I985" s="43">
        <f>8126+13</f>
        <v>8139</v>
      </c>
      <c r="J985" s="43"/>
      <c r="K985" s="43"/>
      <c r="L985" s="78">
        <f>SUM(I985:K985)</f>
        <v>8139</v>
      </c>
      <c r="M985" s="114">
        <f t="shared" si="593"/>
        <v>331</v>
      </c>
      <c r="N985" s="115">
        <f t="shared" si="593"/>
        <v>0</v>
      </c>
      <c r="O985" s="114">
        <f t="shared" si="593"/>
        <v>0</v>
      </c>
      <c r="P985" s="116">
        <f>SUM(M985:O985)</f>
        <v>331</v>
      </c>
      <c r="Q985" s="106"/>
    </row>
    <row r="986" spans="1:17" ht="12.75" customHeight="1">
      <c r="A986" s="113" t="s">
        <v>19</v>
      </c>
      <c r="B986" s="102">
        <f>SUM(B987:B988)</f>
        <v>0</v>
      </c>
      <c r="C986" s="102">
        <f>SUM(C987:C988)</f>
        <v>0</v>
      </c>
      <c r="D986" s="102">
        <f>SUM(D987:D988)</f>
        <v>0</v>
      </c>
      <c r="E986" s="102">
        <f t="shared" ref="E986:P986" si="594">SUM(E987:E988)</f>
        <v>0</v>
      </c>
      <c r="F986" s="102">
        <f t="shared" si="594"/>
        <v>0</v>
      </c>
      <c r="G986" s="102">
        <f t="shared" si="594"/>
        <v>0</v>
      </c>
      <c r="H986" s="102">
        <f t="shared" si="594"/>
        <v>0</v>
      </c>
      <c r="I986" s="45">
        <f>SUM(I987:I988)</f>
        <v>0</v>
      </c>
      <c r="J986" s="45">
        <f>SUM(J987:J988)</f>
        <v>0</v>
      </c>
      <c r="K986" s="45">
        <f>SUM(K987:K988)</f>
        <v>0</v>
      </c>
      <c r="L986" s="103">
        <f>SUM(L987:L988)</f>
        <v>0</v>
      </c>
      <c r="M986" s="102">
        <f t="shared" si="594"/>
        <v>0</v>
      </c>
      <c r="N986" s="104">
        <f t="shared" si="594"/>
        <v>0</v>
      </c>
      <c r="O986" s="102">
        <f t="shared" si="594"/>
        <v>0</v>
      </c>
      <c r="P986" s="105">
        <f t="shared" si="594"/>
        <v>0</v>
      </c>
      <c r="Q986" s="106"/>
    </row>
    <row r="987" spans="1:17" ht="12.75" customHeight="1">
      <c r="A987" s="113" t="s">
        <v>20</v>
      </c>
      <c r="B987" s="114"/>
      <c r="C987" s="114"/>
      <c r="D987" s="114">
        <f>+B987+C987</f>
        <v>0</v>
      </c>
      <c r="E987" s="114"/>
      <c r="F987" s="114"/>
      <c r="G987" s="114"/>
      <c r="H987" s="114">
        <f>SUM(E987:G987)</f>
        <v>0</v>
      </c>
      <c r="I987" s="63"/>
      <c r="J987" s="63"/>
      <c r="K987" s="63"/>
      <c r="L987" s="79">
        <f>SUM(I987:K987)</f>
        <v>0</v>
      </c>
      <c r="M987" s="114">
        <f t="shared" ref="M987:O988" si="595">+E987-I987</f>
        <v>0</v>
      </c>
      <c r="N987" s="115">
        <f t="shared" si="595"/>
        <v>0</v>
      </c>
      <c r="O987" s="114">
        <f t="shared" si="595"/>
        <v>0</v>
      </c>
      <c r="P987" s="116">
        <f>SUM(M987:O987)</f>
        <v>0</v>
      </c>
      <c r="Q987" s="106"/>
    </row>
    <row r="988" spans="1:17" ht="12.75" customHeight="1">
      <c r="A988" s="113" t="s">
        <v>21</v>
      </c>
      <c r="B988" s="114"/>
      <c r="C988" s="114"/>
      <c r="D988" s="114">
        <f>+B988+C988</f>
        <v>0</v>
      </c>
      <c r="E988" s="114"/>
      <c r="F988" s="114"/>
      <c r="G988" s="114"/>
      <c r="H988" s="114">
        <f>SUM(E988:G988)</f>
        <v>0</v>
      </c>
      <c r="I988" s="63"/>
      <c r="J988" s="63"/>
      <c r="K988" s="63"/>
      <c r="L988" s="79">
        <f>SUM(I988:K988)</f>
        <v>0</v>
      </c>
      <c r="M988" s="114">
        <f t="shared" si="595"/>
        <v>0</v>
      </c>
      <c r="N988" s="115">
        <f t="shared" si="595"/>
        <v>0</v>
      </c>
      <c r="O988" s="114">
        <f t="shared" si="595"/>
        <v>0</v>
      </c>
      <c r="P988" s="116">
        <f>SUM(M988:O988)</f>
        <v>0</v>
      </c>
      <c r="Q988" s="106"/>
    </row>
    <row r="989" spans="1:17" ht="12.75" customHeight="1">
      <c r="A989" s="233"/>
      <c r="B989" s="234"/>
      <c r="C989" s="234"/>
      <c r="D989" s="234"/>
      <c r="E989" s="102"/>
      <c r="F989" s="102"/>
      <c r="G989" s="102"/>
      <c r="H989" s="102"/>
      <c r="I989" s="74"/>
      <c r="J989" s="74"/>
      <c r="K989" s="74"/>
      <c r="L989" s="138"/>
      <c r="M989" s="102"/>
      <c r="N989" s="104"/>
      <c r="O989" s="102"/>
      <c r="P989" s="105"/>
      <c r="Q989" s="227"/>
    </row>
    <row r="990" spans="1:17" ht="12.75" customHeight="1">
      <c r="A990" s="120" t="s">
        <v>330</v>
      </c>
      <c r="B990" s="102">
        <f>+B991+B995</f>
        <v>628558</v>
      </c>
      <c r="C990" s="102">
        <f>+C991+C995</f>
        <v>23758</v>
      </c>
      <c r="D990" s="102">
        <f>+D991+D995</f>
        <v>652316</v>
      </c>
      <c r="E990" s="102">
        <f t="shared" ref="E990:P990" si="596">+E991+E995</f>
        <v>484448</v>
      </c>
      <c r="F990" s="102">
        <f t="shared" si="596"/>
        <v>167985</v>
      </c>
      <c r="G990" s="102">
        <f t="shared" si="596"/>
        <v>86049</v>
      </c>
      <c r="H990" s="102">
        <f t="shared" si="596"/>
        <v>738482</v>
      </c>
      <c r="I990" s="45">
        <f t="shared" si="596"/>
        <v>484448</v>
      </c>
      <c r="J990" s="45">
        <f t="shared" si="596"/>
        <v>133502</v>
      </c>
      <c r="K990" s="45">
        <f t="shared" si="596"/>
        <v>16256</v>
      </c>
      <c r="L990" s="103">
        <f t="shared" si="596"/>
        <v>634206</v>
      </c>
      <c r="M990" s="102">
        <f t="shared" si="596"/>
        <v>0</v>
      </c>
      <c r="N990" s="104">
        <f t="shared" si="596"/>
        <v>34483</v>
      </c>
      <c r="O990" s="102">
        <f t="shared" si="596"/>
        <v>69793</v>
      </c>
      <c r="P990" s="105">
        <f t="shared" si="596"/>
        <v>104276</v>
      </c>
      <c r="Q990" s="106">
        <f>+L990/H990</f>
        <v>0.85879682917119171</v>
      </c>
    </row>
    <row r="991" spans="1:17" ht="12.75" customHeight="1">
      <c r="A991" s="127" t="s">
        <v>15</v>
      </c>
      <c r="B991" s="108">
        <f>SUM(B992:B994)</f>
        <v>628558</v>
      </c>
      <c r="C991" s="108">
        <f>SUM(C992:C994)</f>
        <v>23758</v>
      </c>
      <c r="D991" s="108">
        <f>SUM(D992:D994)</f>
        <v>652316</v>
      </c>
      <c r="E991" s="108">
        <f t="shared" ref="E991:P991" si="597">SUM(E992:E994)</f>
        <v>484448</v>
      </c>
      <c r="F991" s="108">
        <f t="shared" si="597"/>
        <v>167985</v>
      </c>
      <c r="G991" s="108">
        <f t="shared" si="597"/>
        <v>86049</v>
      </c>
      <c r="H991" s="108">
        <f t="shared" si="597"/>
        <v>738482</v>
      </c>
      <c r="I991" s="109">
        <f>SUM(I992:I994)</f>
        <v>484448</v>
      </c>
      <c r="J991" s="109">
        <f>SUM(J992:J994)</f>
        <v>133502</v>
      </c>
      <c r="K991" s="109">
        <f>SUM(K992:K994)</f>
        <v>16256</v>
      </c>
      <c r="L991" s="110">
        <f>SUM(L992:L994)</f>
        <v>634206</v>
      </c>
      <c r="M991" s="108">
        <f t="shared" si="597"/>
        <v>0</v>
      </c>
      <c r="N991" s="111">
        <f t="shared" si="597"/>
        <v>34483</v>
      </c>
      <c r="O991" s="108">
        <f t="shared" si="597"/>
        <v>69793</v>
      </c>
      <c r="P991" s="112">
        <f t="shared" si="597"/>
        <v>104276</v>
      </c>
      <c r="Q991" s="106"/>
    </row>
    <row r="992" spans="1:17" ht="12.75" customHeight="1">
      <c r="A992" s="113" t="s">
        <v>16</v>
      </c>
      <c r="B992" s="114">
        <v>587146</v>
      </c>
      <c r="C992" s="114"/>
      <c r="D992" s="114">
        <f>+B992+C992</f>
        <v>587146</v>
      </c>
      <c r="E992" s="114">
        <v>419161</v>
      </c>
      <c r="F992" s="114">
        <v>167985</v>
      </c>
      <c r="G992" s="114">
        <v>86049</v>
      </c>
      <c r="H992" s="114">
        <f>SUM(E992:G992)</f>
        <v>673195</v>
      </c>
      <c r="I992" s="43">
        <f>436399-777-15246-1215</f>
        <v>419161</v>
      </c>
      <c r="J992" s="43">
        <f>132725+777</f>
        <v>133502</v>
      </c>
      <c r="K992" s="43">
        <v>16256</v>
      </c>
      <c r="L992" s="78">
        <f>SUM(I992:K992)</f>
        <v>568919</v>
      </c>
      <c r="M992" s="114">
        <f t="shared" ref="M992:O994" si="598">+E992-I992</f>
        <v>0</v>
      </c>
      <c r="N992" s="115">
        <f t="shared" si="598"/>
        <v>34483</v>
      </c>
      <c r="O992" s="114">
        <f t="shared" si="598"/>
        <v>69793</v>
      </c>
      <c r="P992" s="116">
        <f>SUM(M992:O992)</f>
        <v>104276</v>
      </c>
      <c r="Q992" s="106"/>
    </row>
    <row r="993" spans="1:17" ht="12.75" customHeight="1">
      <c r="A993" s="113" t="s">
        <v>17</v>
      </c>
      <c r="B993" s="114"/>
      <c r="C993" s="114">
        <f>+H993</f>
        <v>23758</v>
      </c>
      <c r="D993" s="114">
        <f>+B993+C993</f>
        <v>23758</v>
      </c>
      <c r="E993" s="114">
        <v>23758</v>
      </c>
      <c r="F993" s="114"/>
      <c r="G993" s="114"/>
      <c r="H993" s="114">
        <f>SUM(E993:G993)</f>
        <v>23758</v>
      </c>
      <c r="I993" s="43">
        <f>8512+15246</f>
        <v>23758</v>
      </c>
      <c r="J993" s="43"/>
      <c r="K993" s="43"/>
      <c r="L993" s="78">
        <f>SUM(I993:K993)</f>
        <v>23758</v>
      </c>
      <c r="M993" s="114">
        <f t="shared" si="598"/>
        <v>0</v>
      </c>
      <c r="N993" s="115">
        <f t="shared" si="598"/>
        <v>0</v>
      </c>
      <c r="O993" s="114">
        <f t="shared" si="598"/>
        <v>0</v>
      </c>
      <c r="P993" s="116">
        <f>SUM(M993:O993)</f>
        <v>0</v>
      </c>
      <c r="Q993" s="106"/>
    </row>
    <row r="994" spans="1:17" ht="12.75" customHeight="1">
      <c r="A994" s="113" t="s">
        <v>18</v>
      </c>
      <c r="B994" s="114">
        <v>41412</v>
      </c>
      <c r="C994" s="114"/>
      <c r="D994" s="114">
        <f>+B994+C994</f>
        <v>41412</v>
      </c>
      <c r="E994" s="114">
        <v>41529</v>
      </c>
      <c r="F994" s="114"/>
      <c r="G994" s="114"/>
      <c r="H994" s="114">
        <f>SUM(E994:G994)</f>
        <v>41529</v>
      </c>
      <c r="I994" s="43">
        <f>40314+1215</f>
        <v>41529</v>
      </c>
      <c r="J994" s="43"/>
      <c r="K994" s="43"/>
      <c r="L994" s="78">
        <f>SUM(I994:K994)</f>
        <v>41529</v>
      </c>
      <c r="M994" s="114">
        <f t="shared" si="598"/>
        <v>0</v>
      </c>
      <c r="N994" s="115">
        <f t="shared" si="598"/>
        <v>0</v>
      </c>
      <c r="O994" s="114">
        <f t="shared" si="598"/>
        <v>0</v>
      </c>
      <c r="P994" s="116">
        <f>SUM(M994:O994)</f>
        <v>0</v>
      </c>
      <c r="Q994" s="106"/>
    </row>
    <row r="995" spans="1:17" ht="12.75" customHeight="1">
      <c r="A995" s="113" t="s">
        <v>19</v>
      </c>
      <c r="B995" s="102">
        <f>SUM(B996:B997)</f>
        <v>0</v>
      </c>
      <c r="C995" s="102">
        <f>SUM(C996:C997)</f>
        <v>0</v>
      </c>
      <c r="D995" s="102">
        <f>SUM(D996:D997)</f>
        <v>0</v>
      </c>
      <c r="E995" s="102">
        <f t="shared" ref="E995:P995" si="599">SUM(E996:E997)</f>
        <v>0</v>
      </c>
      <c r="F995" s="102">
        <f t="shared" si="599"/>
        <v>0</v>
      </c>
      <c r="G995" s="102">
        <f t="shared" si="599"/>
        <v>0</v>
      </c>
      <c r="H995" s="102">
        <f t="shared" si="599"/>
        <v>0</v>
      </c>
      <c r="I995" s="45">
        <f>SUM(I996:I997)</f>
        <v>0</v>
      </c>
      <c r="J995" s="45">
        <f>SUM(J996:J997)</f>
        <v>0</v>
      </c>
      <c r="K995" s="45">
        <f>SUM(K996:K997)</f>
        <v>0</v>
      </c>
      <c r="L995" s="103">
        <f>SUM(L996:L997)</f>
        <v>0</v>
      </c>
      <c r="M995" s="102">
        <f t="shared" si="599"/>
        <v>0</v>
      </c>
      <c r="N995" s="104">
        <f t="shared" si="599"/>
        <v>0</v>
      </c>
      <c r="O995" s="102">
        <f t="shared" si="599"/>
        <v>0</v>
      </c>
      <c r="P995" s="105">
        <f t="shared" si="599"/>
        <v>0</v>
      </c>
      <c r="Q995" s="106"/>
    </row>
    <row r="996" spans="1:17" ht="12.75" customHeight="1">
      <c r="A996" s="113" t="s">
        <v>20</v>
      </c>
      <c r="B996" s="114"/>
      <c r="C996" s="114"/>
      <c r="D996" s="114">
        <f>+B996+C996</f>
        <v>0</v>
      </c>
      <c r="E996" s="114"/>
      <c r="F996" s="114"/>
      <c r="G996" s="114"/>
      <c r="H996" s="114">
        <f>SUM(E996:G996)</f>
        <v>0</v>
      </c>
      <c r="I996" s="43"/>
      <c r="J996" s="43"/>
      <c r="K996" s="43"/>
      <c r="L996" s="78">
        <f>SUM(I996:K996)</f>
        <v>0</v>
      </c>
      <c r="M996" s="114">
        <f t="shared" ref="M996:O997" si="600">+E996-I996</f>
        <v>0</v>
      </c>
      <c r="N996" s="115">
        <f t="shared" si="600"/>
        <v>0</v>
      </c>
      <c r="O996" s="114">
        <f t="shared" si="600"/>
        <v>0</v>
      </c>
      <c r="P996" s="116">
        <f>SUM(M996:O996)</f>
        <v>0</v>
      </c>
      <c r="Q996" s="106"/>
    </row>
    <row r="997" spans="1:17" ht="12.75" customHeight="1">
      <c r="A997" s="113" t="s">
        <v>21</v>
      </c>
      <c r="B997" s="114"/>
      <c r="C997" s="114"/>
      <c r="D997" s="114">
        <f>+B997+C997</f>
        <v>0</v>
      </c>
      <c r="E997" s="114"/>
      <c r="F997" s="114"/>
      <c r="G997" s="114"/>
      <c r="H997" s="114">
        <f>SUM(E997:G997)</f>
        <v>0</v>
      </c>
      <c r="I997" s="43"/>
      <c r="J997" s="43"/>
      <c r="K997" s="43"/>
      <c r="L997" s="78">
        <f>SUM(I997:K997)</f>
        <v>0</v>
      </c>
      <c r="M997" s="114">
        <f t="shared" si="600"/>
        <v>0</v>
      </c>
      <c r="N997" s="115">
        <f t="shared" si="600"/>
        <v>0</v>
      </c>
      <c r="O997" s="114">
        <f t="shared" si="600"/>
        <v>0</v>
      </c>
      <c r="P997" s="116">
        <f>SUM(M997:O997)</f>
        <v>0</v>
      </c>
      <c r="Q997" s="106"/>
    </row>
    <row r="998" spans="1:17" ht="12.75" customHeight="1">
      <c r="A998" s="121"/>
      <c r="B998" s="122"/>
      <c r="C998" s="122"/>
      <c r="D998" s="122"/>
      <c r="E998" s="114"/>
      <c r="F998" s="114"/>
      <c r="G998" s="114"/>
      <c r="H998" s="114"/>
      <c r="I998" s="63"/>
      <c r="J998" s="63"/>
      <c r="K998" s="63"/>
      <c r="L998" s="79"/>
      <c r="M998" s="114"/>
      <c r="N998" s="115"/>
      <c r="O998" s="114"/>
      <c r="P998" s="116"/>
      <c r="Q998" s="106"/>
    </row>
    <row r="999" spans="1:17">
      <c r="A999" s="120" t="s">
        <v>331</v>
      </c>
      <c r="B999" s="102">
        <f>+B1000+B1004</f>
        <v>58615</v>
      </c>
      <c r="C999" s="102">
        <f>+C1000+C1004</f>
        <v>6807</v>
      </c>
      <c r="D999" s="102">
        <f>+D1000+D1004</f>
        <v>65422</v>
      </c>
      <c r="E999" s="102">
        <f t="shared" ref="E999:P999" si="601">+E1000+E1004</f>
        <v>39575</v>
      </c>
      <c r="F999" s="102">
        <f t="shared" si="601"/>
        <v>20556</v>
      </c>
      <c r="G999" s="102">
        <f t="shared" si="601"/>
        <v>15691</v>
      </c>
      <c r="H999" s="102">
        <f t="shared" si="601"/>
        <v>75822</v>
      </c>
      <c r="I999" s="45">
        <f t="shared" si="601"/>
        <v>39513</v>
      </c>
      <c r="J999" s="45">
        <f t="shared" si="601"/>
        <v>18815</v>
      </c>
      <c r="K999" s="45">
        <f t="shared" si="601"/>
        <v>5127</v>
      </c>
      <c r="L999" s="103">
        <f t="shared" si="601"/>
        <v>63455</v>
      </c>
      <c r="M999" s="102">
        <f t="shared" si="601"/>
        <v>62</v>
      </c>
      <c r="N999" s="104">
        <f t="shared" si="601"/>
        <v>1741</v>
      </c>
      <c r="O999" s="102">
        <f t="shared" si="601"/>
        <v>10564</v>
      </c>
      <c r="P999" s="105">
        <f t="shared" si="601"/>
        <v>12367</v>
      </c>
      <c r="Q999" s="106">
        <f>+L999/H999</f>
        <v>0.83689430508295748</v>
      </c>
    </row>
    <row r="1000" spans="1:17" ht="12.75" customHeight="1">
      <c r="A1000" s="127" t="s">
        <v>15</v>
      </c>
      <c r="B1000" s="108">
        <f>SUM(B1001:B1003)</f>
        <v>58615</v>
      </c>
      <c r="C1000" s="108">
        <f>SUM(C1001:C1003)</f>
        <v>6807</v>
      </c>
      <c r="D1000" s="108">
        <f>SUM(D1001:D1003)</f>
        <v>65422</v>
      </c>
      <c r="E1000" s="108">
        <f t="shared" ref="E1000:P1000" si="602">SUM(E1001:E1003)</f>
        <v>39575</v>
      </c>
      <c r="F1000" s="108">
        <f t="shared" si="602"/>
        <v>20556</v>
      </c>
      <c r="G1000" s="108">
        <f t="shared" si="602"/>
        <v>15691</v>
      </c>
      <c r="H1000" s="108">
        <f t="shared" si="602"/>
        <v>75822</v>
      </c>
      <c r="I1000" s="109">
        <f>SUM(I1001:I1003)</f>
        <v>39513</v>
      </c>
      <c r="J1000" s="109">
        <f>SUM(J1001:J1003)</f>
        <v>18815</v>
      </c>
      <c r="K1000" s="109">
        <f>SUM(K1001:K1003)</f>
        <v>5127</v>
      </c>
      <c r="L1000" s="110">
        <f>SUM(L1001:L1003)</f>
        <v>63455</v>
      </c>
      <c r="M1000" s="108">
        <f t="shared" si="602"/>
        <v>62</v>
      </c>
      <c r="N1000" s="111">
        <f t="shared" si="602"/>
        <v>1741</v>
      </c>
      <c r="O1000" s="108">
        <f t="shared" si="602"/>
        <v>10564</v>
      </c>
      <c r="P1000" s="112">
        <f t="shared" si="602"/>
        <v>12367</v>
      </c>
      <c r="Q1000" s="106"/>
    </row>
    <row r="1001" spans="1:17" ht="12.75" customHeight="1">
      <c r="A1001" s="113" t="s">
        <v>16</v>
      </c>
      <c r="B1001" s="114">
        <v>55918</v>
      </c>
      <c r="C1001" s="114"/>
      <c r="D1001" s="114">
        <f>+B1001+C1001</f>
        <v>55918</v>
      </c>
      <c r="E1001" s="114">
        <v>31457</v>
      </c>
      <c r="F1001" s="114">
        <v>20556</v>
      </c>
      <c r="G1001" s="114">
        <v>14305</v>
      </c>
      <c r="H1001" s="114">
        <f>SUM(E1001:G1001)</f>
        <v>66318</v>
      </c>
      <c r="I1001" s="43">
        <v>31442</v>
      </c>
      <c r="J1001" s="43">
        <v>18815</v>
      </c>
      <c r="K1001" s="43">
        <v>5127</v>
      </c>
      <c r="L1001" s="78">
        <f>SUM(I1001:K1001)</f>
        <v>55384</v>
      </c>
      <c r="M1001" s="114">
        <f t="shared" ref="M1001:O1003" si="603">+E1001-I1001</f>
        <v>15</v>
      </c>
      <c r="N1001" s="115">
        <f t="shared" si="603"/>
        <v>1741</v>
      </c>
      <c r="O1001" s="114">
        <f t="shared" si="603"/>
        <v>9178</v>
      </c>
      <c r="P1001" s="116">
        <f>SUM(M1001:O1001)</f>
        <v>10934</v>
      </c>
      <c r="Q1001" s="106"/>
    </row>
    <row r="1002" spans="1:17" ht="12.75" customHeight="1">
      <c r="A1002" s="113" t="s">
        <v>17</v>
      </c>
      <c r="B1002" s="114"/>
      <c r="C1002" s="114">
        <f>+H1002</f>
        <v>6807</v>
      </c>
      <c r="D1002" s="114">
        <f>+B1002+C1002</f>
        <v>6807</v>
      </c>
      <c r="E1002" s="114">
        <v>5421</v>
      </c>
      <c r="F1002" s="114"/>
      <c r="G1002" s="114">
        <v>1386</v>
      </c>
      <c r="H1002" s="114">
        <f>SUM(E1002:G1002)</f>
        <v>6807</v>
      </c>
      <c r="I1002" s="43">
        <v>5421</v>
      </c>
      <c r="J1002" s="43"/>
      <c r="K1002" s="43"/>
      <c r="L1002" s="78">
        <f>SUM(I1002:K1002)</f>
        <v>5421</v>
      </c>
      <c r="M1002" s="114">
        <f t="shared" si="603"/>
        <v>0</v>
      </c>
      <c r="N1002" s="115">
        <f t="shared" si="603"/>
        <v>0</v>
      </c>
      <c r="O1002" s="114">
        <f t="shared" si="603"/>
        <v>1386</v>
      </c>
      <c r="P1002" s="116">
        <f>SUM(M1002:O1002)</f>
        <v>1386</v>
      </c>
      <c r="Q1002" s="106"/>
    </row>
    <row r="1003" spans="1:17" ht="12.75" customHeight="1">
      <c r="A1003" s="113" t="s">
        <v>18</v>
      </c>
      <c r="B1003" s="114">
        <v>2697</v>
      </c>
      <c r="C1003" s="114"/>
      <c r="D1003" s="114">
        <f>+B1003+C1003</f>
        <v>2697</v>
      </c>
      <c r="E1003" s="114">
        <v>2697</v>
      </c>
      <c r="F1003" s="114"/>
      <c r="G1003" s="114"/>
      <c r="H1003" s="114">
        <f>SUM(E1003:G1003)</f>
        <v>2697</v>
      </c>
      <c r="I1003" s="43">
        <v>2650</v>
      </c>
      <c r="J1003" s="43"/>
      <c r="K1003" s="43"/>
      <c r="L1003" s="78">
        <f>SUM(I1003:K1003)</f>
        <v>2650</v>
      </c>
      <c r="M1003" s="114">
        <f t="shared" si="603"/>
        <v>47</v>
      </c>
      <c r="N1003" s="115">
        <f t="shared" si="603"/>
        <v>0</v>
      </c>
      <c r="O1003" s="114">
        <f t="shared" si="603"/>
        <v>0</v>
      </c>
      <c r="P1003" s="116">
        <f>SUM(M1003:O1003)</f>
        <v>47</v>
      </c>
      <c r="Q1003" s="106"/>
    </row>
    <row r="1004" spans="1:17" ht="12.75" customHeight="1">
      <c r="A1004" s="113" t="s">
        <v>19</v>
      </c>
      <c r="B1004" s="102">
        <f>SUM(B1005:B1006)</f>
        <v>0</v>
      </c>
      <c r="C1004" s="102">
        <f>SUM(C1005:C1006)</f>
        <v>0</v>
      </c>
      <c r="D1004" s="102">
        <f>SUM(D1005:D1006)</f>
        <v>0</v>
      </c>
      <c r="E1004" s="102">
        <f t="shared" ref="E1004:P1004" si="604">SUM(E1005:E1006)</f>
        <v>0</v>
      </c>
      <c r="F1004" s="102">
        <f t="shared" si="604"/>
        <v>0</v>
      </c>
      <c r="G1004" s="102">
        <f t="shared" si="604"/>
        <v>0</v>
      </c>
      <c r="H1004" s="102">
        <f t="shared" si="604"/>
        <v>0</v>
      </c>
      <c r="I1004" s="45">
        <f>SUM(I1005:I1006)</f>
        <v>0</v>
      </c>
      <c r="J1004" s="45">
        <f>SUM(J1005:J1006)</f>
        <v>0</v>
      </c>
      <c r="K1004" s="45">
        <f>SUM(K1005:K1006)</f>
        <v>0</v>
      </c>
      <c r="L1004" s="103">
        <f>SUM(L1005:L1006)</f>
        <v>0</v>
      </c>
      <c r="M1004" s="102">
        <f t="shared" si="604"/>
        <v>0</v>
      </c>
      <c r="N1004" s="104">
        <f t="shared" si="604"/>
        <v>0</v>
      </c>
      <c r="O1004" s="102">
        <f t="shared" si="604"/>
        <v>0</v>
      </c>
      <c r="P1004" s="105">
        <f t="shared" si="604"/>
        <v>0</v>
      </c>
      <c r="Q1004" s="106"/>
    </row>
    <row r="1005" spans="1:17" ht="12.75" customHeight="1">
      <c r="A1005" s="113" t="s">
        <v>20</v>
      </c>
      <c r="B1005" s="114"/>
      <c r="C1005" s="114"/>
      <c r="D1005" s="114">
        <f>+B1005+C1005</f>
        <v>0</v>
      </c>
      <c r="E1005" s="114"/>
      <c r="F1005" s="114"/>
      <c r="G1005" s="114"/>
      <c r="H1005" s="114">
        <f>SUM(E1005:G1005)</f>
        <v>0</v>
      </c>
      <c r="I1005" s="43"/>
      <c r="J1005" s="43"/>
      <c r="K1005" s="43"/>
      <c r="L1005" s="78">
        <f>SUM(I1005:K1005)</f>
        <v>0</v>
      </c>
      <c r="M1005" s="114">
        <f t="shared" ref="M1005:O1006" si="605">+E1005-I1005</f>
        <v>0</v>
      </c>
      <c r="N1005" s="115">
        <f t="shared" si="605"/>
        <v>0</v>
      </c>
      <c r="O1005" s="114">
        <f t="shared" si="605"/>
        <v>0</v>
      </c>
      <c r="P1005" s="116">
        <f>SUM(M1005:O1005)</f>
        <v>0</v>
      </c>
      <c r="Q1005" s="106"/>
    </row>
    <row r="1006" spans="1:17" ht="12.75" customHeight="1">
      <c r="A1006" s="113" t="s">
        <v>21</v>
      </c>
      <c r="B1006" s="114"/>
      <c r="C1006" s="114">
        <f>+H1006</f>
        <v>0</v>
      </c>
      <c r="D1006" s="114">
        <f>+B1006+C1006</f>
        <v>0</v>
      </c>
      <c r="E1006" s="114"/>
      <c r="F1006" s="114"/>
      <c r="G1006" s="114"/>
      <c r="H1006" s="114">
        <f>SUM(E1006:G1006)</f>
        <v>0</v>
      </c>
      <c r="I1006" s="43"/>
      <c r="J1006" s="43"/>
      <c r="K1006" s="43"/>
      <c r="L1006" s="78">
        <f>SUM(I1006:K1006)</f>
        <v>0</v>
      </c>
      <c r="M1006" s="114">
        <f t="shared" si="605"/>
        <v>0</v>
      </c>
      <c r="N1006" s="115">
        <f t="shared" si="605"/>
        <v>0</v>
      </c>
      <c r="O1006" s="114">
        <f t="shared" si="605"/>
        <v>0</v>
      </c>
      <c r="P1006" s="116">
        <f>SUM(M1006:O1006)</f>
        <v>0</v>
      </c>
      <c r="Q1006" s="106"/>
    </row>
    <row r="1007" spans="1:17" ht="12.75" customHeight="1">
      <c r="A1007" s="121"/>
      <c r="B1007" s="122"/>
      <c r="C1007" s="122"/>
      <c r="D1007" s="122"/>
      <c r="E1007" s="114"/>
      <c r="F1007" s="114"/>
      <c r="G1007" s="114"/>
      <c r="H1007" s="114"/>
      <c r="I1007" s="43"/>
      <c r="J1007" s="43"/>
      <c r="K1007" s="43"/>
      <c r="L1007" s="78"/>
      <c r="M1007" s="114"/>
      <c r="N1007" s="115"/>
      <c r="O1007" s="114"/>
      <c r="P1007" s="116"/>
      <c r="Q1007" s="106"/>
    </row>
    <row r="1008" spans="1:17">
      <c r="A1008" s="120" t="s">
        <v>332</v>
      </c>
      <c r="B1008" s="102">
        <f>+B1009+B1013</f>
        <v>29262</v>
      </c>
      <c r="C1008" s="102">
        <f>+C1009+C1013</f>
        <v>0</v>
      </c>
      <c r="D1008" s="102">
        <f>+D1009+D1013</f>
        <v>29262</v>
      </c>
      <c r="E1008" s="102">
        <f t="shared" ref="E1008:P1008" si="606">+E1009+E1013</f>
        <v>20314</v>
      </c>
      <c r="F1008" s="102">
        <f t="shared" si="606"/>
        <v>11991</v>
      </c>
      <c r="G1008" s="102">
        <f t="shared" si="606"/>
        <v>3042</v>
      </c>
      <c r="H1008" s="102">
        <f t="shared" si="606"/>
        <v>35347</v>
      </c>
      <c r="I1008" s="45">
        <f t="shared" si="606"/>
        <v>20015</v>
      </c>
      <c r="J1008" s="45">
        <f t="shared" si="606"/>
        <v>11991</v>
      </c>
      <c r="K1008" s="45">
        <f t="shared" si="606"/>
        <v>0</v>
      </c>
      <c r="L1008" s="103">
        <f t="shared" si="606"/>
        <v>32006</v>
      </c>
      <c r="M1008" s="102">
        <f t="shared" si="606"/>
        <v>299</v>
      </c>
      <c r="N1008" s="104">
        <f t="shared" si="606"/>
        <v>0</v>
      </c>
      <c r="O1008" s="102">
        <f t="shared" si="606"/>
        <v>3042</v>
      </c>
      <c r="P1008" s="105">
        <f t="shared" si="606"/>
        <v>3341</v>
      </c>
      <c r="Q1008" s="106">
        <f>+L1008/H1008</f>
        <v>0.90547995586612728</v>
      </c>
    </row>
    <row r="1009" spans="1:17" ht="12.75" customHeight="1">
      <c r="A1009" s="127" t="s">
        <v>15</v>
      </c>
      <c r="B1009" s="108">
        <f>SUM(B1010:B1012)</f>
        <v>29262</v>
      </c>
      <c r="C1009" s="108">
        <f>SUM(C1010:C1012)</f>
        <v>0</v>
      </c>
      <c r="D1009" s="108">
        <f>SUM(D1010:D1012)</f>
        <v>29262</v>
      </c>
      <c r="E1009" s="108">
        <f t="shared" ref="E1009:P1009" si="607">SUM(E1010:E1012)</f>
        <v>20314</v>
      </c>
      <c r="F1009" s="108">
        <f t="shared" si="607"/>
        <v>11991</v>
      </c>
      <c r="G1009" s="108">
        <f t="shared" si="607"/>
        <v>3042</v>
      </c>
      <c r="H1009" s="108">
        <f t="shared" si="607"/>
        <v>35347</v>
      </c>
      <c r="I1009" s="109">
        <f>SUM(I1010:I1012)</f>
        <v>20015</v>
      </c>
      <c r="J1009" s="109">
        <f>SUM(J1010:J1012)</f>
        <v>11991</v>
      </c>
      <c r="K1009" s="109">
        <f>SUM(K1010:K1012)</f>
        <v>0</v>
      </c>
      <c r="L1009" s="110">
        <f>SUM(L1010:L1012)</f>
        <v>32006</v>
      </c>
      <c r="M1009" s="108">
        <f t="shared" si="607"/>
        <v>299</v>
      </c>
      <c r="N1009" s="111">
        <f t="shared" si="607"/>
        <v>0</v>
      </c>
      <c r="O1009" s="108">
        <f t="shared" si="607"/>
        <v>3042</v>
      </c>
      <c r="P1009" s="112">
        <f t="shared" si="607"/>
        <v>3341</v>
      </c>
      <c r="Q1009" s="106"/>
    </row>
    <row r="1010" spans="1:17" ht="12.75" customHeight="1">
      <c r="A1010" s="113" t="s">
        <v>16</v>
      </c>
      <c r="B1010" s="114">
        <v>27786</v>
      </c>
      <c r="C1010" s="114"/>
      <c r="D1010" s="114">
        <f>+B1010+C1010</f>
        <v>27786</v>
      </c>
      <c r="E1010" s="114">
        <v>15795</v>
      </c>
      <c r="F1010" s="114">
        <v>11991</v>
      </c>
      <c r="G1010" s="114">
        <v>3042</v>
      </c>
      <c r="H1010" s="114">
        <f>SUM(E1010:G1010)</f>
        <v>30828</v>
      </c>
      <c r="I1010" s="43">
        <v>15790</v>
      </c>
      <c r="J1010" s="43">
        <v>11991</v>
      </c>
      <c r="K1010" s="43"/>
      <c r="L1010" s="78">
        <f>SUM(I1010:K1010)</f>
        <v>27781</v>
      </c>
      <c r="M1010" s="114">
        <f t="shared" ref="M1010:O1012" si="608">+E1010-I1010</f>
        <v>5</v>
      </c>
      <c r="N1010" s="115">
        <f t="shared" si="608"/>
        <v>0</v>
      </c>
      <c r="O1010" s="114">
        <f t="shared" si="608"/>
        <v>3042</v>
      </c>
      <c r="P1010" s="116">
        <f>SUM(M1010:O1010)</f>
        <v>3047</v>
      </c>
      <c r="Q1010" s="106"/>
    </row>
    <row r="1011" spans="1:17" ht="12.75" customHeight="1">
      <c r="A1011" s="113" t="s">
        <v>17</v>
      </c>
      <c r="B1011" s="114"/>
      <c r="C1011" s="114"/>
      <c r="D1011" s="114">
        <f>+B1011+C1011</f>
        <v>0</v>
      </c>
      <c r="E1011" s="114">
        <v>2895</v>
      </c>
      <c r="F1011" s="114"/>
      <c r="G1011" s="114"/>
      <c r="H1011" s="114">
        <f>SUM(E1011:G1011)</f>
        <v>2895</v>
      </c>
      <c r="I1011" s="43">
        <v>2645</v>
      </c>
      <c r="J1011" s="43"/>
      <c r="K1011" s="43"/>
      <c r="L1011" s="78">
        <f>SUM(I1011:K1011)</f>
        <v>2645</v>
      </c>
      <c r="M1011" s="114">
        <f t="shared" si="608"/>
        <v>250</v>
      </c>
      <c r="N1011" s="115">
        <f t="shared" si="608"/>
        <v>0</v>
      </c>
      <c r="O1011" s="114">
        <f t="shared" si="608"/>
        <v>0</v>
      </c>
      <c r="P1011" s="116">
        <f>SUM(M1011:O1011)</f>
        <v>250</v>
      </c>
      <c r="Q1011" s="106"/>
    </row>
    <row r="1012" spans="1:17" ht="12.75" customHeight="1">
      <c r="A1012" s="113" t="s">
        <v>18</v>
      </c>
      <c r="B1012" s="114">
        <v>1476</v>
      </c>
      <c r="C1012" s="114"/>
      <c r="D1012" s="114">
        <f>+B1012+C1012</f>
        <v>1476</v>
      </c>
      <c r="E1012" s="114">
        <v>1624</v>
      </c>
      <c r="F1012" s="114"/>
      <c r="G1012" s="114"/>
      <c r="H1012" s="114">
        <f>SUM(E1012:G1012)</f>
        <v>1624</v>
      </c>
      <c r="I1012" s="43">
        <v>1580</v>
      </c>
      <c r="J1012" s="43"/>
      <c r="K1012" s="43"/>
      <c r="L1012" s="78">
        <f>SUM(I1012:K1012)</f>
        <v>1580</v>
      </c>
      <c r="M1012" s="114">
        <f t="shared" si="608"/>
        <v>44</v>
      </c>
      <c r="N1012" s="115">
        <f t="shared" si="608"/>
        <v>0</v>
      </c>
      <c r="O1012" s="114">
        <f t="shared" si="608"/>
        <v>0</v>
      </c>
      <c r="P1012" s="116">
        <f>SUM(M1012:O1012)</f>
        <v>44</v>
      </c>
      <c r="Q1012" s="106"/>
    </row>
    <row r="1013" spans="1:17" ht="12.75" customHeight="1">
      <c r="A1013" s="113" t="s">
        <v>19</v>
      </c>
      <c r="B1013" s="102">
        <f>SUM(B1014:B1015)</f>
        <v>0</v>
      </c>
      <c r="C1013" s="102">
        <f>SUM(C1014:C1015)</f>
        <v>0</v>
      </c>
      <c r="D1013" s="102">
        <f>SUM(D1014:D1015)</f>
        <v>0</v>
      </c>
      <c r="E1013" s="102">
        <f t="shared" ref="E1013:P1013" si="609">SUM(E1014:E1015)</f>
        <v>0</v>
      </c>
      <c r="F1013" s="102">
        <f t="shared" si="609"/>
        <v>0</v>
      </c>
      <c r="G1013" s="102">
        <f t="shared" si="609"/>
        <v>0</v>
      </c>
      <c r="H1013" s="102">
        <f t="shared" si="609"/>
        <v>0</v>
      </c>
      <c r="I1013" s="45">
        <f>SUM(I1014:I1015)</f>
        <v>0</v>
      </c>
      <c r="J1013" s="45">
        <f>SUM(J1014:J1015)</f>
        <v>0</v>
      </c>
      <c r="K1013" s="45">
        <f>SUM(K1014:K1015)</f>
        <v>0</v>
      </c>
      <c r="L1013" s="103">
        <f>SUM(L1014:L1015)</f>
        <v>0</v>
      </c>
      <c r="M1013" s="102">
        <f t="shared" si="609"/>
        <v>0</v>
      </c>
      <c r="N1013" s="104">
        <f t="shared" si="609"/>
        <v>0</v>
      </c>
      <c r="O1013" s="102">
        <f t="shared" si="609"/>
        <v>0</v>
      </c>
      <c r="P1013" s="105">
        <f t="shared" si="609"/>
        <v>0</v>
      </c>
      <c r="Q1013" s="106"/>
    </row>
    <row r="1014" spans="1:17" ht="12.75" customHeight="1">
      <c r="A1014" s="113" t="s">
        <v>20</v>
      </c>
      <c r="B1014" s="114"/>
      <c r="C1014" s="114">
        <f>+H1014</f>
        <v>0</v>
      </c>
      <c r="D1014" s="114">
        <f>+B1014+C1014</f>
        <v>0</v>
      </c>
      <c r="E1014" s="114"/>
      <c r="F1014" s="114"/>
      <c r="G1014" s="114"/>
      <c r="H1014" s="114">
        <f>SUM(E1014:G1014)</f>
        <v>0</v>
      </c>
      <c r="I1014" s="43"/>
      <c r="J1014" s="43"/>
      <c r="K1014" s="43"/>
      <c r="L1014" s="78">
        <f>SUM(I1014:K1014)</f>
        <v>0</v>
      </c>
      <c r="M1014" s="114">
        <f t="shared" ref="M1014:O1015" si="610">+E1014-I1014</f>
        <v>0</v>
      </c>
      <c r="N1014" s="115">
        <f t="shared" si="610"/>
        <v>0</v>
      </c>
      <c r="O1014" s="114">
        <f t="shared" si="610"/>
        <v>0</v>
      </c>
      <c r="P1014" s="116">
        <f>SUM(M1014:O1014)</f>
        <v>0</v>
      </c>
      <c r="Q1014" s="106"/>
    </row>
    <row r="1015" spans="1:17" ht="12.75" customHeight="1">
      <c r="A1015" s="113" t="s">
        <v>21</v>
      </c>
      <c r="B1015" s="114"/>
      <c r="C1015" s="114">
        <f>+H1015</f>
        <v>0</v>
      </c>
      <c r="D1015" s="114">
        <f>+B1015+C1015</f>
        <v>0</v>
      </c>
      <c r="E1015" s="114"/>
      <c r="F1015" s="114"/>
      <c r="G1015" s="114"/>
      <c r="H1015" s="114">
        <f>SUM(E1015:G1015)</f>
        <v>0</v>
      </c>
      <c r="I1015" s="43"/>
      <c r="J1015" s="43"/>
      <c r="K1015" s="43"/>
      <c r="L1015" s="78">
        <f>SUM(I1015:K1015)</f>
        <v>0</v>
      </c>
      <c r="M1015" s="114">
        <f t="shared" si="610"/>
        <v>0</v>
      </c>
      <c r="N1015" s="115">
        <f t="shared" si="610"/>
        <v>0</v>
      </c>
      <c r="O1015" s="114">
        <f t="shared" si="610"/>
        <v>0</v>
      </c>
      <c r="P1015" s="116">
        <f>SUM(M1015:O1015)</f>
        <v>0</v>
      </c>
      <c r="Q1015" s="106"/>
    </row>
    <row r="1016" spans="1:17" ht="12.75" customHeight="1">
      <c r="A1016" s="229"/>
      <c r="B1016" s="230"/>
      <c r="C1016" s="230"/>
      <c r="D1016" s="230"/>
      <c r="E1016" s="102"/>
      <c r="F1016" s="102"/>
      <c r="G1016" s="102"/>
      <c r="H1016" s="102"/>
      <c r="I1016" s="74"/>
      <c r="J1016" s="74"/>
      <c r="K1016" s="74"/>
      <c r="L1016" s="138"/>
      <c r="M1016" s="102"/>
      <c r="N1016" s="104"/>
      <c r="O1016" s="102"/>
      <c r="P1016" s="105"/>
      <c r="Q1016" s="227"/>
    </row>
    <row r="1017" spans="1:17" ht="12.75" customHeight="1">
      <c r="A1017" s="149" t="s">
        <v>333</v>
      </c>
      <c r="B1017" s="102">
        <f>+B1018+B1022</f>
        <v>570739</v>
      </c>
      <c r="C1017" s="102">
        <f>+C1018+C1022</f>
        <v>8630</v>
      </c>
      <c r="D1017" s="102">
        <f>+D1018+D1022</f>
        <v>579369</v>
      </c>
      <c r="E1017" s="102">
        <f t="shared" ref="E1017:P1017" si="611">+E1018+E1022</f>
        <v>372473</v>
      </c>
      <c r="F1017" s="102">
        <f t="shared" si="611"/>
        <v>220429</v>
      </c>
      <c r="G1017" s="102">
        <f t="shared" si="611"/>
        <v>118542</v>
      </c>
      <c r="H1017" s="102">
        <f t="shared" si="611"/>
        <v>711444</v>
      </c>
      <c r="I1017" s="139">
        <f>+I1018+I1022</f>
        <v>367789</v>
      </c>
      <c r="J1017" s="139">
        <f>+J1018+J1022</f>
        <v>217226</v>
      </c>
      <c r="K1017" s="139">
        <f>+K1018+K1022</f>
        <v>86778</v>
      </c>
      <c r="L1017" s="139">
        <f>+L1018+L1022</f>
        <v>671793</v>
      </c>
      <c r="M1017" s="102">
        <f t="shared" si="611"/>
        <v>4684</v>
      </c>
      <c r="N1017" s="104">
        <f t="shared" si="611"/>
        <v>3203</v>
      </c>
      <c r="O1017" s="102">
        <f t="shared" si="611"/>
        <v>31764</v>
      </c>
      <c r="P1017" s="105">
        <f t="shared" si="611"/>
        <v>39651</v>
      </c>
      <c r="Q1017" s="106">
        <f>+L1017/H1017</f>
        <v>0.94426687132086295</v>
      </c>
    </row>
    <row r="1018" spans="1:17" ht="12.75" customHeight="1">
      <c r="A1018" s="127" t="s">
        <v>15</v>
      </c>
      <c r="B1018" s="108">
        <f>SUM(B1019:B1021)</f>
        <v>570739</v>
      </c>
      <c r="C1018" s="108">
        <f>SUM(C1019:C1021)</f>
        <v>8630</v>
      </c>
      <c r="D1018" s="108">
        <f>SUM(D1019:D1021)</f>
        <v>579369</v>
      </c>
      <c r="E1018" s="108">
        <f t="shared" ref="E1018:P1018" si="612">SUM(E1019:E1021)</f>
        <v>372473</v>
      </c>
      <c r="F1018" s="108">
        <f t="shared" si="612"/>
        <v>220429</v>
      </c>
      <c r="G1018" s="108">
        <f t="shared" si="612"/>
        <v>118542</v>
      </c>
      <c r="H1018" s="108">
        <f t="shared" si="612"/>
        <v>711444</v>
      </c>
      <c r="I1018" s="141">
        <f>SUM(I1019:I1021)</f>
        <v>367789</v>
      </c>
      <c r="J1018" s="141">
        <f>SUM(J1019:J1021)</f>
        <v>217226</v>
      </c>
      <c r="K1018" s="141">
        <f>SUM(K1019:K1021)</f>
        <v>86778</v>
      </c>
      <c r="L1018" s="141">
        <f>SUM(L1019:L1021)</f>
        <v>671793</v>
      </c>
      <c r="M1018" s="108">
        <f t="shared" si="612"/>
        <v>4684</v>
      </c>
      <c r="N1018" s="111">
        <f t="shared" si="612"/>
        <v>3203</v>
      </c>
      <c r="O1018" s="108">
        <f t="shared" si="612"/>
        <v>31764</v>
      </c>
      <c r="P1018" s="112">
        <f t="shared" si="612"/>
        <v>39651</v>
      </c>
      <c r="Q1018" s="106"/>
    </row>
    <row r="1019" spans="1:17" ht="12.75" customHeight="1">
      <c r="A1019" s="113" t="s">
        <v>16</v>
      </c>
      <c r="B1019" s="114">
        <f t="shared" ref="B1019:G1021" si="613">+B1028+B1037+B1046+B1055</f>
        <v>543458</v>
      </c>
      <c r="C1019" s="114">
        <f t="shared" si="613"/>
        <v>0</v>
      </c>
      <c r="D1019" s="114">
        <f t="shared" si="613"/>
        <v>543458</v>
      </c>
      <c r="E1019" s="114">
        <f t="shared" si="613"/>
        <v>295971</v>
      </c>
      <c r="F1019" s="114">
        <f t="shared" si="613"/>
        <v>220429</v>
      </c>
      <c r="G1019" s="114">
        <f t="shared" si="613"/>
        <v>118542</v>
      </c>
      <c r="H1019" s="114">
        <f>SUM(E1019:G1019)</f>
        <v>634942</v>
      </c>
      <c r="I1019" s="143">
        <f t="shared" ref="I1019:K1021" si="614">+I1028+I1037+I1046+I1055</f>
        <v>295841</v>
      </c>
      <c r="J1019" s="143">
        <f t="shared" si="614"/>
        <v>217226</v>
      </c>
      <c r="K1019" s="143">
        <f t="shared" si="614"/>
        <v>86778</v>
      </c>
      <c r="L1019" s="143">
        <f>SUM(I1019:K1019)</f>
        <v>599845</v>
      </c>
      <c r="M1019" s="114">
        <f t="shared" ref="M1019:O1021" si="615">+E1019-I1019</f>
        <v>130</v>
      </c>
      <c r="N1019" s="115">
        <f t="shared" si="615"/>
        <v>3203</v>
      </c>
      <c r="O1019" s="114">
        <f t="shared" si="615"/>
        <v>31764</v>
      </c>
      <c r="P1019" s="116">
        <f>SUM(M1019:O1019)</f>
        <v>35097</v>
      </c>
      <c r="Q1019" s="106"/>
    </row>
    <row r="1020" spans="1:17" ht="12.75" customHeight="1">
      <c r="A1020" s="113" t="s">
        <v>17</v>
      </c>
      <c r="B1020" s="114">
        <f t="shared" si="613"/>
        <v>0</v>
      </c>
      <c r="C1020" s="114">
        <f t="shared" si="613"/>
        <v>8630</v>
      </c>
      <c r="D1020" s="114">
        <f t="shared" si="613"/>
        <v>8630</v>
      </c>
      <c r="E1020" s="114">
        <f t="shared" si="613"/>
        <v>48500</v>
      </c>
      <c r="F1020" s="114">
        <f t="shared" si="613"/>
        <v>0</v>
      </c>
      <c r="G1020" s="114">
        <f t="shared" si="613"/>
        <v>0</v>
      </c>
      <c r="H1020" s="114">
        <f>SUM(E1020:G1020)</f>
        <v>48500</v>
      </c>
      <c r="I1020" s="143">
        <f t="shared" si="614"/>
        <v>44599</v>
      </c>
      <c r="J1020" s="143">
        <f t="shared" si="614"/>
        <v>0</v>
      </c>
      <c r="K1020" s="143">
        <f t="shared" si="614"/>
        <v>0</v>
      </c>
      <c r="L1020" s="143">
        <f>SUM(I1020:K1020)</f>
        <v>44599</v>
      </c>
      <c r="M1020" s="114">
        <f t="shared" si="615"/>
        <v>3901</v>
      </c>
      <c r="N1020" s="115">
        <f t="shared" si="615"/>
        <v>0</v>
      </c>
      <c r="O1020" s="114">
        <f t="shared" si="615"/>
        <v>0</v>
      </c>
      <c r="P1020" s="116">
        <f>SUM(M1020:O1020)</f>
        <v>3901</v>
      </c>
      <c r="Q1020" s="106"/>
    </row>
    <row r="1021" spans="1:17" ht="12.75" customHeight="1">
      <c r="A1021" s="113" t="s">
        <v>18</v>
      </c>
      <c r="B1021" s="114">
        <f t="shared" si="613"/>
        <v>27281</v>
      </c>
      <c r="C1021" s="114">
        <f t="shared" si="613"/>
        <v>0</v>
      </c>
      <c r="D1021" s="114">
        <f t="shared" si="613"/>
        <v>27281</v>
      </c>
      <c r="E1021" s="114">
        <f t="shared" si="613"/>
        <v>28002</v>
      </c>
      <c r="F1021" s="114">
        <f t="shared" si="613"/>
        <v>0</v>
      </c>
      <c r="G1021" s="114">
        <f t="shared" si="613"/>
        <v>0</v>
      </c>
      <c r="H1021" s="114">
        <f>SUM(E1021:G1021)</f>
        <v>28002</v>
      </c>
      <c r="I1021" s="143">
        <f t="shared" si="614"/>
        <v>27349</v>
      </c>
      <c r="J1021" s="143">
        <f t="shared" si="614"/>
        <v>0</v>
      </c>
      <c r="K1021" s="143">
        <f t="shared" si="614"/>
        <v>0</v>
      </c>
      <c r="L1021" s="143">
        <f>SUM(I1021:K1021)</f>
        <v>27349</v>
      </c>
      <c r="M1021" s="114">
        <f t="shared" si="615"/>
        <v>653</v>
      </c>
      <c r="N1021" s="115">
        <f t="shared" si="615"/>
        <v>0</v>
      </c>
      <c r="O1021" s="114">
        <f t="shared" si="615"/>
        <v>0</v>
      </c>
      <c r="P1021" s="116">
        <f>SUM(M1021:O1021)</f>
        <v>653</v>
      </c>
      <c r="Q1021" s="106"/>
    </row>
    <row r="1022" spans="1:17" ht="12.75" customHeight="1">
      <c r="A1022" s="113" t="s">
        <v>19</v>
      </c>
      <c r="B1022" s="102">
        <f>SUM(B1023:B1024)</f>
        <v>0</v>
      </c>
      <c r="C1022" s="102">
        <f>SUM(C1023:C1024)</f>
        <v>0</v>
      </c>
      <c r="D1022" s="102">
        <f>SUM(D1023:D1024)</f>
        <v>0</v>
      </c>
      <c r="E1022" s="102">
        <f t="shared" ref="E1022:P1022" si="616">SUM(E1023:E1024)</f>
        <v>0</v>
      </c>
      <c r="F1022" s="102">
        <f t="shared" si="616"/>
        <v>0</v>
      </c>
      <c r="G1022" s="102">
        <f t="shared" si="616"/>
        <v>0</v>
      </c>
      <c r="H1022" s="102">
        <f t="shared" si="616"/>
        <v>0</v>
      </c>
      <c r="I1022" s="139">
        <f>SUM(I1023:I1024)</f>
        <v>0</v>
      </c>
      <c r="J1022" s="139">
        <f>SUM(J1023:J1024)</f>
        <v>0</v>
      </c>
      <c r="K1022" s="139">
        <f>SUM(K1023:K1024)</f>
        <v>0</v>
      </c>
      <c r="L1022" s="139">
        <f>SUM(L1023:L1024)</f>
        <v>0</v>
      </c>
      <c r="M1022" s="102">
        <f t="shared" si="616"/>
        <v>0</v>
      </c>
      <c r="N1022" s="104">
        <f t="shared" si="616"/>
        <v>0</v>
      </c>
      <c r="O1022" s="102">
        <f t="shared" si="616"/>
        <v>0</v>
      </c>
      <c r="P1022" s="105">
        <f t="shared" si="616"/>
        <v>0</v>
      </c>
      <c r="Q1022" s="106"/>
    </row>
    <row r="1023" spans="1:17" ht="12.75" customHeight="1">
      <c r="A1023" s="113" t="s">
        <v>20</v>
      </c>
      <c r="B1023" s="114">
        <f t="shared" ref="B1023:G1024" si="617">+B1032+B1041+B1050+B1059</f>
        <v>0</v>
      </c>
      <c r="C1023" s="114">
        <f t="shared" si="617"/>
        <v>0</v>
      </c>
      <c r="D1023" s="114">
        <f t="shared" si="617"/>
        <v>0</v>
      </c>
      <c r="E1023" s="114">
        <f t="shared" si="617"/>
        <v>0</v>
      </c>
      <c r="F1023" s="114">
        <f t="shared" si="617"/>
        <v>0</v>
      </c>
      <c r="G1023" s="114">
        <f t="shared" si="617"/>
        <v>0</v>
      </c>
      <c r="H1023" s="114">
        <f>SUM(E1023:G1023)</f>
        <v>0</v>
      </c>
      <c r="I1023" s="143">
        <f t="shared" ref="I1023:K1024" si="618">+I1032+I1041+I1050+I1059</f>
        <v>0</v>
      </c>
      <c r="J1023" s="143">
        <f t="shared" si="618"/>
        <v>0</v>
      </c>
      <c r="K1023" s="143">
        <f t="shared" si="618"/>
        <v>0</v>
      </c>
      <c r="L1023" s="143">
        <f>SUM(I1023:K1023)</f>
        <v>0</v>
      </c>
      <c r="M1023" s="114">
        <f t="shared" ref="M1023:O1024" si="619">+E1023-I1023</f>
        <v>0</v>
      </c>
      <c r="N1023" s="115">
        <f t="shared" si="619"/>
        <v>0</v>
      </c>
      <c r="O1023" s="114">
        <f t="shared" si="619"/>
        <v>0</v>
      </c>
      <c r="P1023" s="116">
        <f>SUM(M1023:O1023)</f>
        <v>0</v>
      </c>
      <c r="Q1023" s="106"/>
    </row>
    <row r="1024" spans="1:17" ht="12.75" customHeight="1">
      <c r="A1024" s="113" t="s">
        <v>21</v>
      </c>
      <c r="B1024" s="114">
        <f t="shared" si="617"/>
        <v>0</v>
      </c>
      <c r="C1024" s="114">
        <f t="shared" si="617"/>
        <v>0</v>
      </c>
      <c r="D1024" s="114">
        <f t="shared" si="617"/>
        <v>0</v>
      </c>
      <c r="E1024" s="114">
        <f t="shared" si="617"/>
        <v>0</v>
      </c>
      <c r="F1024" s="114">
        <f t="shared" si="617"/>
        <v>0</v>
      </c>
      <c r="G1024" s="114">
        <f t="shared" si="617"/>
        <v>0</v>
      </c>
      <c r="H1024" s="114">
        <f>SUM(E1024:G1024)</f>
        <v>0</v>
      </c>
      <c r="I1024" s="143">
        <f t="shared" si="618"/>
        <v>0</v>
      </c>
      <c r="J1024" s="143">
        <f t="shared" si="618"/>
        <v>0</v>
      </c>
      <c r="K1024" s="143">
        <f t="shared" si="618"/>
        <v>0</v>
      </c>
      <c r="L1024" s="143">
        <f>SUM(I1024:K1024)</f>
        <v>0</v>
      </c>
      <c r="M1024" s="114">
        <f t="shared" si="619"/>
        <v>0</v>
      </c>
      <c r="N1024" s="115">
        <f t="shared" si="619"/>
        <v>0</v>
      </c>
      <c r="O1024" s="114">
        <f t="shared" si="619"/>
        <v>0</v>
      </c>
      <c r="P1024" s="116">
        <f>SUM(M1024:O1024)</f>
        <v>0</v>
      </c>
      <c r="Q1024" s="106"/>
    </row>
    <row r="1025" spans="1:18" ht="12.75" customHeight="1">
      <c r="A1025" s="149"/>
      <c r="B1025" s="150"/>
      <c r="C1025" s="150"/>
      <c r="D1025" s="150"/>
      <c r="E1025" s="114"/>
      <c r="F1025" s="114"/>
      <c r="G1025" s="114"/>
      <c r="H1025" s="114"/>
      <c r="I1025" s="43"/>
      <c r="J1025" s="43"/>
      <c r="K1025" s="43"/>
      <c r="L1025" s="78"/>
      <c r="M1025" s="114"/>
      <c r="N1025" s="115"/>
      <c r="O1025" s="114"/>
      <c r="P1025" s="116"/>
      <c r="Q1025" s="106"/>
    </row>
    <row r="1026" spans="1:18" ht="12.75" customHeight="1">
      <c r="A1026" s="120" t="s">
        <v>334</v>
      </c>
      <c r="B1026" s="102">
        <f>+B1027+B1031</f>
        <v>80516</v>
      </c>
      <c r="C1026" s="102">
        <f>+C1027+C1031</f>
        <v>8630</v>
      </c>
      <c r="D1026" s="102">
        <f>+D1027+D1031</f>
        <v>89146</v>
      </c>
      <c r="E1026" s="102">
        <f t="shared" ref="E1026:P1026" si="620">+E1027+E1031</f>
        <v>48635</v>
      </c>
      <c r="F1026" s="102">
        <f t="shared" si="620"/>
        <v>36922</v>
      </c>
      <c r="G1026" s="102">
        <f t="shared" si="620"/>
        <v>19072</v>
      </c>
      <c r="H1026" s="102">
        <f t="shared" si="620"/>
        <v>104629</v>
      </c>
      <c r="I1026" s="45">
        <f t="shared" si="620"/>
        <v>48632</v>
      </c>
      <c r="J1026" s="45">
        <f t="shared" si="620"/>
        <v>35744</v>
      </c>
      <c r="K1026" s="45">
        <f t="shared" si="620"/>
        <v>12168</v>
      </c>
      <c r="L1026" s="103">
        <f>+L1027+L1031</f>
        <v>96544</v>
      </c>
      <c r="M1026" s="102">
        <f t="shared" si="620"/>
        <v>3</v>
      </c>
      <c r="N1026" s="104">
        <f t="shared" si="620"/>
        <v>1178</v>
      </c>
      <c r="O1026" s="102">
        <f t="shared" si="620"/>
        <v>6904</v>
      </c>
      <c r="P1026" s="105">
        <f t="shared" si="620"/>
        <v>8085</v>
      </c>
      <c r="Q1026" s="106">
        <f>+L1026/H1026</f>
        <v>0.92272696862246606</v>
      </c>
    </row>
    <row r="1027" spans="1:18" ht="12.75" customHeight="1">
      <c r="A1027" s="127" t="s">
        <v>15</v>
      </c>
      <c r="B1027" s="108">
        <f>SUM(B1028:B1030)</f>
        <v>80516</v>
      </c>
      <c r="C1027" s="108">
        <f>SUM(C1028:C1030)</f>
        <v>8630</v>
      </c>
      <c r="D1027" s="108">
        <f>SUM(D1028:D1030)</f>
        <v>89146</v>
      </c>
      <c r="E1027" s="108">
        <f t="shared" ref="E1027:P1027" si="621">SUM(E1028:E1030)</f>
        <v>48635</v>
      </c>
      <c r="F1027" s="108">
        <f t="shared" si="621"/>
        <v>36922</v>
      </c>
      <c r="G1027" s="108">
        <f t="shared" si="621"/>
        <v>19072</v>
      </c>
      <c r="H1027" s="108">
        <f t="shared" si="621"/>
        <v>104629</v>
      </c>
      <c r="I1027" s="109">
        <f>SUM(I1028:I1030)</f>
        <v>48632</v>
      </c>
      <c r="J1027" s="109">
        <f>SUM(J1028:J1030)</f>
        <v>35744</v>
      </c>
      <c r="K1027" s="109">
        <f>SUM(K1028:K1030)</f>
        <v>12168</v>
      </c>
      <c r="L1027" s="110">
        <f>SUM(L1028:L1030)</f>
        <v>96544</v>
      </c>
      <c r="M1027" s="108">
        <f t="shared" si="621"/>
        <v>3</v>
      </c>
      <c r="N1027" s="111">
        <f t="shared" si="621"/>
        <v>1178</v>
      </c>
      <c r="O1027" s="108">
        <f t="shared" si="621"/>
        <v>6904</v>
      </c>
      <c r="P1027" s="112">
        <f t="shared" si="621"/>
        <v>8085</v>
      </c>
      <c r="Q1027" s="106"/>
    </row>
    <row r="1028" spans="1:18" ht="12.75" customHeight="1">
      <c r="A1028" s="113" t="s">
        <v>16</v>
      </c>
      <c r="B1028" s="114">
        <v>77242</v>
      </c>
      <c r="C1028" s="114"/>
      <c r="D1028" s="114">
        <f>+B1028+C1028</f>
        <v>77242</v>
      </c>
      <c r="E1028" s="114">
        <v>36415</v>
      </c>
      <c r="F1028" s="114">
        <v>36922</v>
      </c>
      <c r="G1028" s="114">
        <v>19072</v>
      </c>
      <c r="H1028" s="114">
        <f>SUM(E1028:G1028)</f>
        <v>92409</v>
      </c>
      <c r="I1028" s="43">
        <f>36364+48</f>
        <v>36412</v>
      </c>
      <c r="J1028" s="43">
        <v>35744</v>
      </c>
      <c r="K1028" s="43">
        <v>12168</v>
      </c>
      <c r="L1028" s="78">
        <f>SUM(I1028:K1028)</f>
        <v>84324</v>
      </c>
      <c r="M1028" s="114">
        <f t="shared" ref="M1028:O1030" si="622">+E1028-I1028</f>
        <v>3</v>
      </c>
      <c r="N1028" s="115">
        <f t="shared" si="622"/>
        <v>1178</v>
      </c>
      <c r="O1028" s="114">
        <f t="shared" si="622"/>
        <v>6904</v>
      </c>
      <c r="P1028" s="116">
        <f>SUM(M1028:O1028)</f>
        <v>8085</v>
      </c>
      <c r="Q1028" s="106"/>
      <c r="R1028" s="156"/>
    </row>
    <row r="1029" spans="1:18" ht="12.75" customHeight="1">
      <c r="A1029" s="113" t="s">
        <v>17</v>
      </c>
      <c r="B1029" s="114"/>
      <c r="C1029" s="114">
        <f>+H1029</f>
        <v>8630</v>
      </c>
      <c r="D1029" s="114">
        <f>+B1029+C1029</f>
        <v>8630</v>
      </c>
      <c r="E1029" s="114">
        <v>8630</v>
      </c>
      <c r="F1029" s="114"/>
      <c r="G1029" s="114"/>
      <c r="H1029" s="114">
        <f>SUM(E1029:G1029)</f>
        <v>8630</v>
      </c>
      <c r="I1029" s="43">
        <v>8630</v>
      </c>
      <c r="J1029" s="43"/>
      <c r="K1029" s="43"/>
      <c r="L1029" s="78">
        <f>SUM(I1029:K1029)</f>
        <v>8630</v>
      </c>
      <c r="M1029" s="114">
        <f t="shared" si="622"/>
        <v>0</v>
      </c>
      <c r="N1029" s="115">
        <f t="shared" si="622"/>
        <v>0</v>
      </c>
      <c r="O1029" s="114">
        <f t="shared" si="622"/>
        <v>0</v>
      </c>
      <c r="P1029" s="116">
        <f>SUM(M1029:O1029)</f>
        <v>0</v>
      </c>
      <c r="Q1029" s="106"/>
    </row>
    <row r="1030" spans="1:18" ht="12.75" customHeight="1">
      <c r="A1030" s="113" t="s">
        <v>18</v>
      </c>
      <c r="B1030" s="114">
        <v>3274</v>
      </c>
      <c r="C1030" s="114"/>
      <c r="D1030" s="114">
        <f>+B1030+C1030</f>
        <v>3274</v>
      </c>
      <c r="E1030" s="114">
        <v>3590</v>
      </c>
      <c r="F1030" s="114"/>
      <c r="G1030" s="114"/>
      <c r="H1030" s="114">
        <f>SUM(E1030:G1030)</f>
        <v>3590</v>
      </c>
      <c r="I1030" s="43">
        <f>3638-48</f>
        <v>3590</v>
      </c>
      <c r="J1030" s="43"/>
      <c r="K1030" s="43"/>
      <c r="L1030" s="78">
        <f>SUM(I1030:K1030)</f>
        <v>3590</v>
      </c>
      <c r="M1030" s="114">
        <f t="shared" si="622"/>
        <v>0</v>
      </c>
      <c r="N1030" s="115">
        <f t="shared" si="622"/>
        <v>0</v>
      </c>
      <c r="O1030" s="114">
        <f t="shared" si="622"/>
        <v>0</v>
      </c>
      <c r="P1030" s="116">
        <f>SUM(M1030:O1030)</f>
        <v>0</v>
      </c>
      <c r="Q1030" s="106"/>
    </row>
    <row r="1031" spans="1:18" ht="12.75" customHeight="1">
      <c r="A1031" s="113" t="s">
        <v>19</v>
      </c>
      <c r="B1031" s="102">
        <f>SUM(B1032:B1033)</f>
        <v>0</v>
      </c>
      <c r="C1031" s="102">
        <f>SUM(C1032:C1033)</f>
        <v>0</v>
      </c>
      <c r="D1031" s="102">
        <f>SUM(D1032:D1033)</f>
        <v>0</v>
      </c>
      <c r="E1031" s="102">
        <f t="shared" ref="E1031:P1031" si="623">SUM(E1032:E1033)</f>
        <v>0</v>
      </c>
      <c r="F1031" s="102">
        <f t="shared" si="623"/>
        <v>0</v>
      </c>
      <c r="G1031" s="102">
        <f t="shared" si="623"/>
        <v>0</v>
      </c>
      <c r="H1031" s="102">
        <f t="shared" si="623"/>
        <v>0</v>
      </c>
      <c r="I1031" s="45">
        <f>SUM(I1032:I1033)</f>
        <v>0</v>
      </c>
      <c r="J1031" s="45">
        <f>SUM(J1032:J1033)</f>
        <v>0</v>
      </c>
      <c r="K1031" s="45">
        <f>SUM(K1032:K1033)</f>
        <v>0</v>
      </c>
      <c r="L1031" s="103">
        <f>SUM(L1032:L1033)</f>
        <v>0</v>
      </c>
      <c r="M1031" s="102">
        <f t="shared" si="623"/>
        <v>0</v>
      </c>
      <c r="N1031" s="104">
        <f t="shared" si="623"/>
        <v>0</v>
      </c>
      <c r="O1031" s="102">
        <f t="shared" si="623"/>
        <v>0</v>
      </c>
      <c r="P1031" s="105">
        <f t="shared" si="623"/>
        <v>0</v>
      </c>
      <c r="Q1031" s="106"/>
    </row>
    <row r="1032" spans="1:18" ht="12.75" customHeight="1">
      <c r="A1032" s="113" t="s">
        <v>20</v>
      </c>
      <c r="B1032" s="114"/>
      <c r="C1032" s="114"/>
      <c r="D1032" s="114">
        <f>+B1032+C1032</f>
        <v>0</v>
      </c>
      <c r="E1032" s="114"/>
      <c r="F1032" s="114"/>
      <c r="G1032" s="114"/>
      <c r="H1032" s="114">
        <f>SUM(E1032:G1032)</f>
        <v>0</v>
      </c>
      <c r="I1032" s="43"/>
      <c r="J1032" s="43"/>
      <c r="K1032" s="43"/>
      <c r="L1032" s="78">
        <f>SUM(I1032:K1032)</f>
        <v>0</v>
      </c>
      <c r="M1032" s="114">
        <f t="shared" ref="M1032:O1033" si="624">+E1032-I1032</f>
        <v>0</v>
      </c>
      <c r="N1032" s="115">
        <f t="shared" si="624"/>
        <v>0</v>
      </c>
      <c r="O1032" s="114">
        <f t="shared" si="624"/>
        <v>0</v>
      </c>
      <c r="P1032" s="116">
        <f>SUM(M1032:O1032)</f>
        <v>0</v>
      </c>
      <c r="Q1032" s="106"/>
    </row>
    <row r="1033" spans="1:18" ht="12.75" customHeight="1">
      <c r="A1033" s="113" t="s">
        <v>21</v>
      </c>
      <c r="B1033" s="114"/>
      <c r="C1033" s="114">
        <f>+H1033</f>
        <v>0</v>
      </c>
      <c r="D1033" s="114">
        <f>+B1033+C1033</f>
        <v>0</v>
      </c>
      <c r="E1033" s="114"/>
      <c r="F1033" s="114"/>
      <c r="G1033" s="114"/>
      <c r="H1033" s="114">
        <f>SUM(E1033:G1033)</f>
        <v>0</v>
      </c>
      <c r="I1033" s="43"/>
      <c r="J1033" s="43"/>
      <c r="K1033" s="43"/>
      <c r="L1033" s="78">
        <f>SUM(I1033:K1033)</f>
        <v>0</v>
      </c>
      <c r="M1033" s="114">
        <f t="shared" si="624"/>
        <v>0</v>
      </c>
      <c r="N1033" s="115">
        <f t="shared" si="624"/>
        <v>0</v>
      </c>
      <c r="O1033" s="114">
        <f t="shared" si="624"/>
        <v>0</v>
      </c>
      <c r="P1033" s="116">
        <f>SUM(M1033:O1033)</f>
        <v>0</v>
      </c>
      <c r="Q1033" s="106"/>
    </row>
    <row r="1034" spans="1:18" ht="12.75" customHeight="1">
      <c r="A1034" s="121"/>
      <c r="B1034" s="122"/>
      <c r="C1034" s="122"/>
      <c r="D1034" s="122"/>
      <c r="E1034" s="114"/>
      <c r="F1034" s="114"/>
      <c r="G1034" s="114"/>
      <c r="H1034" s="114"/>
      <c r="I1034" s="43"/>
      <c r="J1034" s="43"/>
      <c r="K1034" s="43"/>
      <c r="L1034" s="78"/>
      <c r="M1034" s="114"/>
      <c r="N1034" s="115"/>
      <c r="O1034" s="114"/>
      <c r="P1034" s="116"/>
      <c r="Q1034" s="106"/>
    </row>
    <row r="1035" spans="1:18">
      <c r="A1035" s="135" t="s">
        <v>335</v>
      </c>
      <c r="B1035" s="102">
        <f>+B1036+B1040</f>
        <v>100840</v>
      </c>
      <c r="C1035" s="102">
        <f>+C1036+C1040</f>
        <v>0</v>
      </c>
      <c r="D1035" s="102">
        <f>+D1036+D1040</f>
        <v>100840</v>
      </c>
      <c r="E1035" s="102">
        <f t="shared" ref="E1035:P1035" si="625">+E1036+E1040</f>
        <v>57630</v>
      </c>
      <c r="F1035" s="102">
        <f t="shared" si="625"/>
        <v>48561</v>
      </c>
      <c r="G1035" s="102">
        <f t="shared" si="625"/>
        <v>20494</v>
      </c>
      <c r="H1035" s="102">
        <f t="shared" si="625"/>
        <v>126685</v>
      </c>
      <c r="I1035" s="45">
        <f t="shared" si="625"/>
        <v>57619</v>
      </c>
      <c r="J1035" s="45">
        <f t="shared" si="625"/>
        <v>47613</v>
      </c>
      <c r="K1035" s="45">
        <f t="shared" si="625"/>
        <v>19033</v>
      </c>
      <c r="L1035" s="103">
        <f t="shared" si="625"/>
        <v>124265</v>
      </c>
      <c r="M1035" s="102">
        <f t="shared" si="625"/>
        <v>11</v>
      </c>
      <c r="N1035" s="104">
        <f t="shared" si="625"/>
        <v>948</v>
      </c>
      <c r="O1035" s="102">
        <f t="shared" si="625"/>
        <v>1461</v>
      </c>
      <c r="P1035" s="105">
        <f t="shared" si="625"/>
        <v>2420</v>
      </c>
      <c r="Q1035" s="106">
        <f>+L1035/H1035</f>
        <v>0.98089750167738876</v>
      </c>
    </row>
    <row r="1036" spans="1:18" ht="12.75" customHeight="1">
      <c r="A1036" s="127" t="s">
        <v>15</v>
      </c>
      <c r="B1036" s="108">
        <f>SUM(B1037:B1039)</f>
        <v>100840</v>
      </c>
      <c r="C1036" s="108">
        <f>SUM(C1037:C1039)</f>
        <v>0</v>
      </c>
      <c r="D1036" s="108">
        <f>SUM(D1037:D1039)</f>
        <v>100840</v>
      </c>
      <c r="E1036" s="108">
        <f t="shared" ref="E1036:P1036" si="626">SUM(E1037:E1039)</f>
        <v>57630</v>
      </c>
      <c r="F1036" s="108">
        <f t="shared" si="626"/>
        <v>48561</v>
      </c>
      <c r="G1036" s="108">
        <f t="shared" si="626"/>
        <v>20494</v>
      </c>
      <c r="H1036" s="108">
        <f t="shared" si="626"/>
        <v>126685</v>
      </c>
      <c r="I1036" s="109">
        <f>SUM(I1037:I1039)</f>
        <v>57619</v>
      </c>
      <c r="J1036" s="109">
        <f>SUM(J1037:J1039)</f>
        <v>47613</v>
      </c>
      <c r="K1036" s="109">
        <f>SUM(K1037:K1039)</f>
        <v>19033</v>
      </c>
      <c r="L1036" s="110">
        <f>SUM(L1037:L1039)</f>
        <v>124265</v>
      </c>
      <c r="M1036" s="108">
        <f t="shared" si="626"/>
        <v>11</v>
      </c>
      <c r="N1036" s="111">
        <f t="shared" si="626"/>
        <v>948</v>
      </c>
      <c r="O1036" s="108">
        <f t="shared" si="626"/>
        <v>1461</v>
      </c>
      <c r="P1036" s="112">
        <f t="shared" si="626"/>
        <v>2420</v>
      </c>
      <c r="Q1036" s="106"/>
    </row>
    <row r="1037" spans="1:18" ht="12.75" customHeight="1">
      <c r="A1037" s="113" t="s">
        <v>16</v>
      </c>
      <c r="B1037" s="114">
        <v>96344</v>
      </c>
      <c r="C1037" s="114"/>
      <c r="D1037" s="114">
        <f>+B1037+C1037</f>
        <v>96344</v>
      </c>
      <c r="E1037" s="114">
        <v>47483</v>
      </c>
      <c r="F1037" s="114">
        <v>48561</v>
      </c>
      <c r="G1037" s="114">
        <v>20494</v>
      </c>
      <c r="H1037" s="114">
        <f>SUM(E1037:G1037)</f>
        <v>116538</v>
      </c>
      <c r="I1037" s="43">
        <f>49253-1770</f>
        <v>47483</v>
      </c>
      <c r="J1037" s="43">
        <f>45843+1770</f>
        <v>47613</v>
      </c>
      <c r="K1037" s="43">
        <v>19033</v>
      </c>
      <c r="L1037" s="78">
        <f>SUM(I1037:K1037)</f>
        <v>114129</v>
      </c>
      <c r="M1037" s="114">
        <f t="shared" ref="M1037:O1039" si="627">+E1037-I1037</f>
        <v>0</v>
      </c>
      <c r="N1037" s="115">
        <f t="shared" si="627"/>
        <v>948</v>
      </c>
      <c r="O1037" s="114">
        <f t="shared" si="627"/>
        <v>1461</v>
      </c>
      <c r="P1037" s="116">
        <f>SUM(M1037:O1037)</f>
        <v>2409</v>
      </c>
      <c r="Q1037" s="106"/>
    </row>
    <row r="1038" spans="1:18" ht="12.75" customHeight="1">
      <c r="A1038" s="113" t="s">
        <v>17</v>
      </c>
      <c r="B1038" s="114"/>
      <c r="C1038" s="114"/>
      <c r="D1038" s="114">
        <f>+B1038+C1038</f>
        <v>0</v>
      </c>
      <c r="E1038" s="114">
        <v>5555</v>
      </c>
      <c r="F1038" s="114"/>
      <c r="G1038" s="114"/>
      <c r="H1038" s="114">
        <f>SUM(E1038:G1038)</f>
        <v>5555</v>
      </c>
      <c r="I1038" s="43">
        <f>5513+31</f>
        <v>5544</v>
      </c>
      <c r="J1038" s="43"/>
      <c r="K1038" s="43"/>
      <c r="L1038" s="78">
        <f>SUM(I1038:K1038)</f>
        <v>5544</v>
      </c>
      <c r="M1038" s="114">
        <f t="shared" si="627"/>
        <v>11</v>
      </c>
      <c r="N1038" s="115">
        <f t="shared" si="627"/>
        <v>0</v>
      </c>
      <c r="O1038" s="114">
        <f t="shared" si="627"/>
        <v>0</v>
      </c>
      <c r="P1038" s="116">
        <f>SUM(M1038:O1038)</f>
        <v>11</v>
      </c>
      <c r="Q1038" s="106"/>
    </row>
    <row r="1039" spans="1:18" ht="12.75" customHeight="1">
      <c r="A1039" s="113" t="s">
        <v>18</v>
      </c>
      <c r="B1039" s="114">
        <v>4496</v>
      </c>
      <c r="C1039" s="114"/>
      <c r="D1039" s="114">
        <f>+B1039+C1039</f>
        <v>4496</v>
      </c>
      <c r="E1039" s="114">
        <v>4592</v>
      </c>
      <c r="F1039" s="114"/>
      <c r="G1039" s="114"/>
      <c r="H1039" s="114">
        <f>SUM(E1039:G1039)</f>
        <v>4592</v>
      </c>
      <c r="I1039" s="43">
        <f>4623-31</f>
        <v>4592</v>
      </c>
      <c r="J1039" s="43"/>
      <c r="K1039" s="43"/>
      <c r="L1039" s="78">
        <f>SUM(I1039:K1039)</f>
        <v>4592</v>
      </c>
      <c r="M1039" s="114">
        <f t="shared" si="627"/>
        <v>0</v>
      </c>
      <c r="N1039" s="115">
        <f t="shared" si="627"/>
        <v>0</v>
      </c>
      <c r="O1039" s="114">
        <f t="shared" si="627"/>
        <v>0</v>
      </c>
      <c r="P1039" s="116">
        <f>SUM(M1039:O1039)</f>
        <v>0</v>
      </c>
      <c r="Q1039" s="106"/>
    </row>
    <row r="1040" spans="1:18" ht="12.75" customHeight="1">
      <c r="A1040" s="113" t="s">
        <v>19</v>
      </c>
      <c r="B1040" s="102">
        <f>SUM(B1041:B1042)</f>
        <v>0</v>
      </c>
      <c r="C1040" s="102">
        <f>SUM(C1041:C1042)</f>
        <v>0</v>
      </c>
      <c r="D1040" s="102">
        <f>SUM(D1041:D1042)</f>
        <v>0</v>
      </c>
      <c r="E1040" s="102">
        <f t="shared" ref="E1040:P1040" si="628">SUM(E1041:E1042)</f>
        <v>0</v>
      </c>
      <c r="F1040" s="102">
        <f t="shared" si="628"/>
        <v>0</v>
      </c>
      <c r="G1040" s="102">
        <f t="shared" si="628"/>
        <v>0</v>
      </c>
      <c r="H1040" s="102">
        <f t="shared" si="628"/>
        <v>0</v>
      </c>
      <c r="I1040" s="45">
        <f>SUM(I1041:I1042)</f>
        <v>0</v>
      </c>
      <c r="J1040" s="45">
        <f>SUM(J1041:J1042)</f>
        <v>0</v>
      </c>
      <c r="K1040" s="45">
        <f>SUM(K1041:K1042)</f>
        <v>0</v>
      </c>
      <c r="L1040" s="103">
        <f>SUM(L1041:L1042)</f>
        <v>0</v>
      </c>
      <c r="M1040" s="102">
        <f t="shared" si="628"/>
        <v>0</v>
      </c>
      <c r="N1040" s="104">
        <f t="shared" si="628"/>
        <v>0</v>
      </c>
      <c r="O1040" s="102">
        <f t="shared" si="628"/>
        <v>0</v>
      </c>
      <c r="P1040" s="105">
        <f t="shared" si="628"/>
        <v>0</v>
      </c>
      <c r="Q1040" s="106"/>
    </row>
    <row r="1041" spans="1:17" ht="12.75" customHeight="1">
      <c r="A1041" s="113" t="s">
        <v>20</v>
      </c>
      <c r="B1041" s="114"/>
      <c r="C1041" s="114"/>
      <c r="D1041" s="114">
        <f>+B1041+C1041</f>
        <v>0</v>
      </c>
      <c r="E1041" s="114"/>
      <c r="F1041" s="114"/>
      <c r="G1041" s="114"/>
      <c r="H1041" s="114">
        <f>SUM(E1041:G1041)</f>
        <v>0</v>
      </c>
      <c r="I1041" s="43"/>
      <c r="J1041" s="43"/>
      <c r="K1041" s="43"/>
      <c r="L1041" s="78">
        <f>SUM(I1041:K1041)</f>
        <v>0</v>
      </c>
      <c r="M1041" s="114">
        <f t="shared" ref="M1041:O1042" si="629">+E1041-I1041</f>
        <v>0</v>
      </c>
      <c r="N1041" s="115">
        <f t="shared" si="629"/>
        <v>0</v>
      </c>
      <c r="O1041" s="114">
        <f t="shared" si="629"/>
        <v>0</v>
      </c>
      <c r="P1041" s="116">
        <f>SUM(M1041:O1041)</f>
        <v>0</v>
      </c>
      <c r="Q1041" s="106"/>
    </row>
    <row r="1042" spans="1:17" ht="12.75" customHeight="1">
      <c r="A1042" s="113" t="s">
        <v>21</v>
      </c>
      <c r="B1042" s="114"/>
      <c r="C1042" s="114"/>
      <c r="D1042" s="114">
        <f>+B1042+C1042</f>
        <v>0</v>
      </c>
      <c r="E1042" s="114"/>
      <c r="F1042" s="114"/>
      <c r="G1042" s="114"/>
      <c r="H1042" s="114">
        <f>SUM(E1042:G1042)</f>
        <v>0</v>
      </c>
      <c r="I1042" s="43"/>
      <c r="J1042" s="43"/>
      <c r="K1042" s="43"/>
      <c r="L1042" s="78">
        <f>SUM(I1042:K1042)</f>
        <v>0</v>
      </c>
      <c r="M1042" s="114">
        <f t="shared" si="629"/>
        <v>0</v>
      </c>
      <c r="N1042" s="115">
        <f t="shared" si="629"/>
        <v>0</v>
      </c>
      <c r="O1042" s="114">
        <f t="shared" si="629"/>
        <v>0</v>
      </c>
      <c r="P1042" s="116">
        <f>SUM(M1042:O1042)</f>
        <v>0</v>
      </c>
      <c r="Q1042" s="106"/>
    </row>
    <row r="1043" spans="1:17" ht="12.75" customHeight="1">
      <c r="A1043" s="127"/>
      <c r="B1043" s="137"/>
      <c r="C1043" s="137"/>
      <c r="D1043" s="137"/>
      <c r="E1043" s="114"/>
      <c r="F1043" s="114"/>
      <c r="G1043" s="114"/>
      <c r="H1043" s="114"/>
      <c r="I1043" s="43"/>
      <c r="J1043" s="43"/>
      <c r="K1043" s="43"/>
      <c r="L1043" s="78"/>
      <c r="M1043" s="114"/>
      <c r="N1043" s="115"/>
      <c r="O1043" s="114"/>
      <c r="P1043" s="116"/>
      <c r="Q1043" s="106"/>
    </row>
    <row r="1044" spans="1:17">
      <c r="A1044" s="120" t="s">
        <v>336</v>
      </c>
      <c r="B1044" s="102">
        <f>+B1045+B1049</f>
        <v>68149</v>
      </c>
      <c r="C1044" s="102">
        <f>+C1045+C1049</f>
        <v>0</v>
      </c>
      <c r="D1044" s="102">
        <f>+D1045+D1049</f>
        <v>68149</v>
      </c>
      <c r="E1044" s="102">
        <f t="shared" ref="E1044:P1044" si="630">+E1045+E1049</f>
        <v>44276</v>
      </c>
      <c r="F1044" s="102">
        <f t="shared" si="630"/>
        <v>28402</v>
      </c>
      <c r="G1044" s="102">
        <f t="shared" si="630"/>
        <v>13942</v>
      </c>
      <c r="H1044" s="102">
        <f t="shared" si="630"/>
        <v>86620</v>
      </c>
      <c r="I1044" s="45">
        <f t="shared" si="630"/>
        <v>43977</v>
      </c>
      <c r="J1044" s="45">
        <f t="shared" si="630"/>
        <v>28221</v>
      </c>
      <c r="K1044" s="45">
        <f t="shared" si="630"/>
        <v>260</v>
      </c>
      <c r="L1044" s="103">
        <f t="shared" si="630"/>
        <v>72458</v>
      </c>
      <c r="M1044" s="102">
        <f t="shared" si="630"/>
        <v>299</v>
      </c>
      <c r="N1044" s="104">
        <f t="shared" si="630"/>
        <v>181</v>
      </c>
      <c r="O1044" s="102">
        <f t="shared" si="630"/>
        <v>13682</v>
      </c>
      <c r="P1044" s="105">
        <f t="shared" si="630"/>
        <v>14162</v>
      </c>
      <c r="Q1044" s="106">
        <f>+L1044/H1044</f>
        <v>0.83650427153082429</v>
      </c>
    </row>
    <row r="1045" spans="1:17" ht="12.75" customHeight="1">
      <c r="A1045" s="127" t="s">
        <v>15</v>
      </c>
      <c r="B1045" s="108">
        <f>SUM(B1046:B1048)</f>
        <v>68149</v>
      </c>
      <c r="C1045" s="108">
        <f>SUM(C1046:C1048)</f>
        <v>0</v>
      </c>
      <c r="D1045" s="108">
        <f>SUM(D1046:D1048)</f>
        <v>68149</v>
      </c>
      <c r="E1045" s="108">
        <f t="shared" ref="E1045:P1045" si="631">SUM(E1046:E1048)</f>
        <v>44276</v>
      </c>
      <c r="F1045" s="108">
        <f t="shared" si="631"/>
        <v>28402</v>
      </c>
      <c r="G1045" s="108">
        <f t="shared" si="631"/>
        <v>13942</v>
      </c>
      <c r="H1045" s="108">
        <f t="shared" si="631"/>
        <v>86620</v>
      </c>
      <c r="I1045" s="109">
        <f>SUM(I1046:I1048)</f>
        <v>43977</v>
      </c>
      <c r="J1045" s="109">
        <f>SUM(J1046:J1048)</f>
        <v>28221</v>
      </c>
      <c r="K1045" s="109">
        <f>SUM(K1046:K1048)</f>
        <v>260</v>
      </c>
      <c r="L1045" s="110">
        <f>SUM(L1046:L1048)</f>
        <v>72458</v>
      </c>
      <c r="M1045" s="108">
        <f t="shared" si="631"/>
        <v>299</v>
      </c>
      <c r="N1045" s="111">
        <f t="shared" si="631"/>
        <v>181</v>
      </c>
      <c r="O1045" s="108">
        <f t="shared" si="631"/>
        <v>13682</v>
      </c>
      <c r="P1045" s="112">
        <f t="shared" si="631"/>
        <v>14162</v>
      </c>
      <c r="Q1045" s="106"/>
    </row>
    <row r="1046" spans="1:17" ht="12.75" customHeight="1">
      <c r="A1046" s="113" t="s">
        <v>16</v>
      </c>
      <c r="B1046" s="114">
        <v>64779</v>
      </c>
      <c r="C1046" s="114"/>
      <c r="D1046" s="114">
        <f>+B1046+C1046</f>
        <v>64779</v>
      </c>
      <c r="E1046" s="114">
        <v>36154</v>
      </c>
      <c r="F1046" s="114">
        <v>28402</v>
      </c>
      <c r="G1046" s="114">
        <v>13942</v>
      </c>
      <c r="H1046" s="114">
        <f>SUM(E1046:G1046)</f>
        <v>78498</v>
      </c>
      <c r="I1046" s="43">
        <v>36067</v>
      </c>
      <c r="J1046" s="43">
        <v>28221</v>
      </c>
      <c r="K1046" s="43">
        <v>260</v>
      </c>
      <c r="L1046" s="78">
        <f>SUM(I1046:K1046)</f>
        <v>64548</v>
      </c>
      <c r="M1046" s="114">
        <f t="shared" ref="M1046:O1048" si="632">+E1046-I1046</f>
        <v>87</v>
      </c>
      <c r="N1046" s="115">
        <f t="shared" si="632"/>
        <v>181</v>
      </c>
      <c r="O1046" s="114">
        <f t="shared" si="632"/>
        <v>13682</v>
      </c>
      <c r="P1046" s="116">
        <f>SUM(M1046:O1046)</f>
        <v>13950</v>
      </c>
      <c r="Q1046" s="106"/>
    </row>
    <row r="1047" spans="1:17" ht="12.75" customHeight="1">
      <c r="A1047" s="113" t="s">
        <v>17</v>
      </c>
      <c r="B1047" s="114"/>
      <c r="C1047" s="114"/>
      <c r="D1047" s="114">
        <f>+B1047+C1047</f>
        <v>0</v>
      </c>
      <c r="E1047" s="114">
        <v>4703</v>
      </c>
      <c r="F1047" s="114"/>
      <c r="G1047" s="114"/>
      <c r="H1047" s="114">
        <f>SUM(E1047:G1047)</f>
        <v>4703</v>
      </c>
      <c r="I1047" s="43">
        <v>4702</v>
      </c>
      <c r="J1047" s="43"/>
      <c r="K1047" s="43"/>
      <c r="L1047" s="78">
        <f>SUM(I1047:K1047)</f>
        <v>4702</v>
      </c>
      <c r="M1047" s="114">
        <f t="shared" si="632"/>
        <v>1</v>
      </c>
      <c r="N1047" s="115">
        <f t="shared" si="632"/>
        <v>0</v>
      </c>
      <c r="O1047" s="114">
        <f t="shared" si="632"/>
        <v>0</v>
      </c>
      <c r="P1047" s="116">
        <f>SUM(M1047:O1047)</f>
        <v>1</v>
      </c>
      <c r="Q1047" s="106"/>
    </row>
    <row r="1048" spans="1:17" ht="12.75" customHeight="1">
      <c r="A1048" s="113" t="s">
        <v>18</v>
      </c>
      <c r="B1048" s="114">
        <v>3370</v>
      </c>
      <c r="C1048" s="114"/>
      <c r="D1048" s="114">
        <f>+B1048+C1048</f>
        <v>3370</v>
      </c>
      <c r="E1048" s="114">
        <v>3419</v>
      </c>
      <c r="F1048" s="114"/>
      <c r="G1048" s="114"/>
      <c r="H1048" s="114">
        <f>SUM(E1048:G1048)</f>
        <v>3419</v>
      </c>
      <c r="I1048" s="43">
        <v>3208</v>
      </c>
      <c r="J1048" s="43"/>
      <c r="K1048" s="43"/>
      <c r="L1048" s="78">
        <f>SUM(I1048:K1048)</f>
        <v>3208</v>
      </c>
      <c r="M1048" s="114">
        <f t="shared" si="632"/>
        <v>211</v>
      </c>
      <c r="N1048" s="115">
        <f t="shared" si="632"/>
        <v>0</v>
      </c>
      <c r="O1048" s="114">
        <f t="shared" si="632"/>
        <v>0</v>
      </c>
      <c r="P1048" s="116">
        <f>SUM(M1048:O1048)</f>
        <v>211</v>
      </c>
      <c r="Q1048" s="106"/>
    </row>
    <row r="1049" spans="1:17" ht="12.75" customHeight="1">
      <c r="A1049" s="113" t="s">
        <v>19</v>
      </c>
      <c r="B1049" s="102">
        <f>SUM(B1050:B1051)</f>
        <v>0</v>
      </c>
      <c r="C1049" s="102">
        <f>SUM(C1050:C1051)</f>
        <v>0</v>
      </c>
      <c r="D1049" s="102">
        <f>SUM(D1050:D1051)</f>
        <v>0</v>
      </c>
      <c r="E1049" s="102">
        <f t="shared" ref="E1049:P1049" si="633">SUM(E1050:E1051)</f>
        <v>0</v>
      </c>
      <c r="F1049" s="102">
        <f t="shared" si="633"/>
        <v>0</v>
      </c>
      <c r="G1049" s="102">
        <f t="shared" si="633"/>
        <v>0</v>
      </c>
      <c r="H1049" s="102">
        <f t="shared" si="633"/>
        <v>0</v>
      </c>
      <c r="I1049" s="45">
        <f>SUM(I1050:I1051)</f>
        <v>0</v>
      </c>
      <c r="J1049" s="45">
        <f>SUM(J1050:J1051)</f>
        <v>0</v>
      </c>
      <c r="K1049" s="45">
        <f>SUM(K1050:K1051)</f>
        <v>0</v>
      </c>
      <c r="L1049" s="103">
        <f>SUM(L1050:L1051)</f>
        <v>0</v>
      </c>
      <c r="M1049" s="102">
        <f t="shared" si="633"/>
        <v>0</v>
      </c>
      <c r="N1049" s="104">
        <f t="shared" si="633"/>
        <v>0</v>
      </c>
      <c r="O1049" s="102">
        <f t="shared" si="633"/>
        <v>0</v>
      </c>
      <c r="P1049" s="105">
        <f t="shared" si="633"/>
        <v>0</v>
      </c>
      <c r="Q1049" s="106"/>
    </row>
    <row r="1050" spans="1:17" ht="12.75" customHeight="1">
      <c r="A1050" s="113" t="s">
        <v>20</v>
      </c>
      <c r="B1050" s="114"/>
      <c r="C1050" s="114"/>
      <c r="D1050" s="114">
        <f>+B1050+C1050</f>
        <v>0</v>
      </c>
      <c r="E1050" s="114"/>
      <c r="F1050" s="114"/>
      <c r="G1050" s="114"/>
      <c r="H1050" s="114">
        <f>SUM(E1050:G1050)</f>
        <v>0</v>
      </c>
      <c r="I1050" s="43"/>
      <c r="J1050" s="43"/>
      <c r="K1050" s="43"/>
      <c r="L1050" s="78">
        <f>SUM(I1050:K1050)</f>
        <v>0</v>
      </c>
      <c r="M1050" s="114">
        <f t="shared" ref="M1050:O1051" si="634">+E1050-I1050</f>
        <v>0</v>
      </c>
      <c r="N1050" s="115">
        <f t="shared" si="634"/>
        <v>0</v>
      </c>
      <c r="O1050" s="114">
        <f t="shared" si="634"/>
        <v>0</v>
      </c>
      <c r="P1050" s="116">
        <f>SUM(M1050:O1050)</f>
        <v>0</v>
      </c>
      <c r="Q1050" s="106"/>
    </row>
    <row r="1051" spans="1:17" ht="12.75" customHeight="1">
      <c r="A1051" s="113" t="s">
        <v>21</v>
      </c>
      <c r="B1051" s="114"/>
      <c r="C1051" s="114"/>
      <c r="D1051" s="114">
        <f>+B1051+C1051</f>
        <v>0</v>
      </c>
      <c r="E1051" s="114"/>
      <c r="F1051" s="114"/>
      <c r="G1051" s="114"/>
      <c r="H1051" s="114">
        <f>SUM(E1051:G1051)</f>
        <v>0</v>
      </c>
      <c r="I1051" s="43"/>
      <c r="J1051" s="43"/>
      <c r="K1051" s="43"/>
      <c r="L1051" s="78">
        <f>SUM(I1051:K1051)</f>
        <v>0</v>
      </c>
      <c r="M1051" s="114">
        <f t="shared" si="634"/>
        <v>0</v>
      </c>
      <c r="N1051" s="115">
        <f t="shared" si="634"/>
        <v>0</v>
      </c>
      <c r="O1051" s="114">
        <f t="shared" si="634"/>
        <v>0</v>
      </c>
      <c r="P1051" s="116">
        <f>SUM(M1051:O1051)</f>
        <v>0</v>
      </c>
      <c r="Q1051" s="106"/>
    </row>
    <row r="1052" spans="1:17" ht="12.75" customHeight="1">
      <c r="A1052" s="127"/>
      <c r="B1052" s="137"/>
      <c r="C1052" s="137"/>
      <c r="D1052" s="137"/>
      <c r="E1052" s="114"/>
      <c r="F1052" s="114"/>
      <c r="G1052" s="114"/>
      <c r="H1052" s="114"/>
      <c r="I1052" s="43"/>
      <c r="J1052" s="43"/>
      <c r="K1052" s="43"/>
      <c r="L1052" s="78"/>
      <c r="M1052" s="114"/>
      <c r="N1052" s="115"/>
      <c r="O1052" s="114"/>
      <c r="P1052" s="116"/>
      <c r="Q1052" s="106"/>
    </row>
    <row r="1053" spans="1:17" ht="12.75" customHeight="1">
      <c r="A1053" s="120" t="s">
        <v>337</v>
      </c>
      <c r="B1053" s="102">
        <f>+B1054+B1058</f>
        <v>321234</v>
      </c>
      <c r="C1053" s="102">
        <f>+C1054+C1058</f>
        <v>0</v>
      </c>
      <c r="D1053" s="102">
        <f>+D1054+D1058</f>
        <v>321234</v>
      </c>
      <c r="E1053" s="102">
        <f t="shared" ref="E1053:P1053" si="635">+E1054+E1058</f>
        <v>221932</v>
      </c>
      <c r="F1053" s="102">
        <f t="shared" si="635"/>
        <v>106544</v>
      </c>
      <c r="G1053" s="102">
        <f t="shared" si="635"/>
        <v>65034</v>
      </c>
      <c r="H1053" s="102">
        <f t="shared" si="635"/>
        <v>393510</v>
      </c>
      <c r="I1053" s="45">
        <f t="shared" si="635"/>
        <v>217561</v>
      </c>
      <c r="J1053" s="45">
        <f t="shared" si="635"/>
        <v>105648</v>
      </c>
      <c r="K1053" s="45">
        <f t="shared" si="635"/>
        <v>55317</v>
      </c>
      <c r="L1053" s="103">
        <f t="shared" si="635"/>
        <v>378526</v>
      </c>
      <c r="M1053" s="102">
        <f t="shared" si="635"/>
        <v>4371</v>
      </c>
      <c r="N1053" s="104">
        <f t="shared" si="635"/>
        <v>896</v>
      </c>
      <c r="O1053" s="102">
        <f t="shared" si="635"/>
        <v>9717</v>
      </c>
      <c r="P1053" s="105">
        <f t="shared" si="635"/>
        <v>14984</v>
      </c>
      <c r="Q1053" s="106">
        <f>+L1053/H1053</f>
        <v>0.9619221874920586</v>
      </c>
    </row>
    <row r="1054" spans="1:17" ht="12.75" customHeight="1">
      <c r="A1054" s="127" t="s">
        <v>15</v>
      </c>
      <c r="B1054" s="108">
        <f>SUM(B1055:B1057)</f>
        <v>321234</v>
      </c>
      <c r="C1054" s="108">
        <f>SUM(C1055:C1057)</f>
        <v>0</v>
      </c>
      <c r="D1054" s="108">
        <f>SUM(D1055:D1057)</f>
        <v>321234</v>
      </c>
      <c r="E1054" s="108">
        <f t="shared" ref="E1054:P1054" si="636">SUM(E1055:E1057)</f>
        <v>221932</v>
      </c>
      <c r="F1054" s="108">
        <f t="shared" si="636"/>
        <v>106544</v>
      </c>
      <c r="G1054" s="108">
        <f t="shared" si="636"/>
        <v>65034</v>
      </c>
      <c r="H1054" s="108">
        <f t="shared" si="636"/>
        <v>393510</v>
      </c>
      <c r="I1054" s="109">
        <f>SUM(I1055:I1057)</f>
        <v>217561</v>
      </c>
      <c r="J1054" s="109">
        <f>SUM(J1055:J1057)</f>
        <v>105648</v>
      </c>
      <c r="K1054" s="109">
        <f>SUM(K1055:K1057)</f>
        <v>55317</v>
      </c>
      <c r="L1054" s="110">
        <f>SUM(L1055:L1057)</f>
        <v>378526</v>
      </c>
      <c r="M1054" s="108">
        <f t="shared" si="636"/>
        <v>4371</v>
      </c>
      <c r="N1054" s="111">
        <f t="shared" si="636"/>
        <v>896</v>
      </c>
      <c r="O1054" s="108">
        <f t="shared" si="636"/>
        <v>9717</v>
      </c>
      <c r="P1054" s="112">
        <f t="shared" si="636"/>
        <v>14984</v>
      </c>
      <c r="Q1054" s="106"/>
    </row>
    <row r="1055" spans="1:17" ht="12.75" customHeight="1">
      <c r="A1055" s="113" t="s">
        <v>16</v>
      </c>
      <c r="B1055" s="114">
        <v>305093</v>
      </c>
      <c r="C1055" s="114"/>
      <c r="D1055" s="114">
        <f>+B1055+C1055</f>
        <v>305093</v>
      </c>
      <c r="E1055" s="114">
        <v>175919</v>
      </c>
      <c r="F1055" s="114">
        <v>106544</v>
      </c>
      <c r="G1055" s="114">
        <v>65034</v>
      </c>
      <c r="H1055" s="114">
        <f>SUM(E1055:G1055)</f>
        <v>347497</v>
      </c>
      <c r="I1055" s="43">
        <v>175879</v>
      </c>
      <c r="J1055" s="43">
        <v>105648</v>
      </c>
      <c r="K1055" s="43">
        <v>55317</v>
      </c>
      <c r="L1055" s="78">
        <f>SUM(I1055:K1055)</f>
        <v>336844</v>
      </c>
      <c r="M1055" s="114">
        <f t="shared" ref="M1055:O1057" si="637">+E1055-I1055</f>
        <v>40</v>
      </c>
      <c r="N1055" s="115">
        <f t="shared" si="637"/>
        <v>896</v>
      </c>
      <c r="O1055" s="114">
        <f t="shared" si="637"/>
        <v>9717</v>
      </c>
      <c r="P1055" s="116">
        <f>SUM(M1055:O1055)</f>
        <v>10653</v>
      </c>
      <c r="Q1055" s="106"/>
    </row>
    <row r="1056" spans="1:17" ht="12.75" customHeight="1">
      <c r="A1056" s="113" t="s">
        <v>17</v>
      </c>
      <c r="B1056" s="114"/>
      <c r="C1056" s="114"/>
      <c r="D1056" s="114">
        <f>+B1056+C1056</f>
        <v>0</v>
      </c>
      <c r="E1056" s="114">
        <v>29612</v>
      </c>
      <c r="F1056" s="114"/>
      <c r="G1056" s="114"/>
      <c r="H1056" s="114">
        <f>SUM(E1056:G1056)</f>
        <v>29612</v>
      </c>
      <c r="I1056" s="43">
        <v>25723</v>
      </c>
      <c r="J1056" s="43"/>
      <c r="K1056" s="43"/>
      <c r="L1056" s="78">
        <f>SUM(I1056:K1056)</f>
        <v>25723</v>
      </c>
      <c r="M1056" s="114">
        <f t="shared" si="637"/>
        <v>3889</v>
      </c>
      <c r="N1056" s="115">
        <f t="shared" si="637"/>
        <v>0</v>
      </c>
      <c r="O1056" s="114">
        <f t="shared" si="637"/>
        <v>0</v>
      </c>
      <c r="P1056" s="116">
        <f>SUM(M1056:O1056)</f>
        <v>3889</v>
      </c>
      <c r="Q1056" s="106"/>
    </row>
    <row r="1057" spans="1:17" ht="12.75" customHeight="1">
      <c r="A1057" s="113" t="s">
        <v>18</v>
      </c>
      <c r="B1057" s="114">
        <v>16141</v>
      </c>
      <c r="C1057" s="114"/>
      <c r="D1057" s="114">
        <f>+B1057+C1057</f>
        <v>16141</v>
      </c>
      <c r="E1057" s="114">
        <v>16401</v>
      </c>
      <c r="F1057" s="114"/>
      <c r="G1057" s="114"/>
      <c r="H1057" s="114">
        <f>SUM(E1057:G1057)</f>
        <v>16401</v>
      </c>
      <c r="I1057" s="43">
        <v>15959</v>
      </c>
      <c r="J1057" s="43"/>
      <c r="K1057" s="43"/>
      <c r="L1057" s="78">
        <f>SUM(I1057:K1057)</f>
        <v>15959</v>
      </c>
      <c r="M1057" s="114">
        <f t="shared" si="637"/>
        <v>442</v>
      </c>
      <c r="N1057" s="115">
        <f t="shared" si="637"/>
        <v>0</v>
      </c>
      <c r="O1057" s="114">
        <f t="shared" si="637"/>
        <v>0</v>
      </c>
      <c r="P1057" s="116">
        <f>SUM(M1057:O1057)</f>
        <v>442</v>
      </c>
      <c r="Q1057" s="106"/>
    </row>
    <row r="1058" spans="1:17" ht="12.75" customHeight="1">
      <c r="A1058" s="113" t="s">
        <v>19</v>
      </c>
      <c r="B1058" s="102">
        <f>SUM(B1059:B1060)</f>
        <v>0</v>
      </c>
      <c r="C1058" s="102">
        <f>SUM(C1059:C1060)</f>
        <v>0</v>
      </c>
      <c r="D1058" s="102">
        <f>SUM(D1059:D1060)</f>
        <v>0</v>
      </c>
      <c r="E1058" s="102">
        <f t="shared" ref="E1058:P1058" si="638">SUM(E1059:E1060)</f>
        <v>0</v>
      </c>
      <c r="F1058" s="102">
        <f t="shared" si="638"/>
        <v>0</v>
      </c>
      <c r="G1058" s="102">
        <f t="shared" si="638"/>
        <v>0</v>
      </c>
      <c r="H1058" s="102">
        <f t="shared" si="638"/>
        <v>0</v>
      </c>
      <c r="I1058" s="45">
        <f>SUM(I1059:I1060)</f>
        <v>0</v>
      </c>
      <c r="J1058" s="45">
        <f>SUM(J1059:J1060)</f>
        <v>0</v>
      </c>
      <c r="K1058" s="45">
        <f>SUM(K1059:K1060)</f>
        <v>0</v>
      </c>
      <c r="L1058" s="103">
        <f>SUM(L1059:L1060)</f>
        <v>0</v>
      </c>
      <c r="M1058" s="102">
        <f t="shared" si="638"/>
        <v>0</v>
      </c>
      <c r="N1058" s="104">
        <f t="shared" si="638"/>
        <v>0</v>
      </c>
      <c r="O1058" s="102">
        <f t="shared" si="638"/>
        <v>0</v>
      </c>
      <c r="P1058" s="105">
        <f t="shared" si="638"/>
        <v>0</v>
      </c>
      <c r="Q1058" s="106"/>
    </row>
    <row r="1059" spans="1:17" ht="12.75" customHeight="1">
      <c r="A1059" s="113" t="s">
        <v>20</v>
      </c>
      <c r="B1059" s="114"/>
      <c r="C1059" s="114"/>
      <c r="D1059" s="114">
        <f>+B1059+C1059</f>
        <v>0</v>
      </c>
      <c r="E1059" s="114"/>
      <c r="F1059" s="114"/>
      <c r="G1059" s="114"/>
      <c r="H1059" s="114">
        <f>SUM(E1059:G1059)</f>
        <v>0</v>
      </c>
      <c r="I1059" s="43"/>
      <c r="J1059" s="43"/>
      <c r="K1059" s="43"/>
      <c r="L1059" s="78">
        <f>SUM(I1059:K1059)</f>
        <v>0</v>
      </c>
      <c r="M1059" s="114">
        <f t="shared" ref="M1059:O1060" si="639">+E1059-I1059</f>
        <v>0</v>
      </c>
      <c r="N1059" s="115">
        <f t="shared" si="639"/>
        <v>0</v>
      </c>
      <c r="O1059" s="114">
        <f t="shared" si="639"/>
        <v>0</v>
      </c>
      <c r="P1059" s="116">
        <f>SUM(M1059:O1059)</f>
        <v>0</v>
      </c>
      <c r="Q1059" s="106"/>
    </row>
    <row r="1060" spans="1:17" ht="12.75" customHeight="1">
      <c r="A1060" s="113" t="s">
        <v>21</v>
      </c>
      <c r="B1060" s="114"/>
      <c r="C1060" s="114"/>
      <c r="D1060" s="114">
        <f>+B1060+C1060</f>
        <v>0</v>
      </c>
      <c r="E1060" s="114"/>
      <c r="F1060" s="114"/>
      <c r="G1060" s="114"/>
      <c r="H1060" s="114">
        <f>SUM(E1060:G1060)</f>
        <v>0</v>
      </c>
      <c r="I1060" s="43"/>
      <c r="J1060" s="43"/>
      <c r="K1060" s="43"/>
      <c r="L1060" s="78">
        <f>SUM(I1060:K1060)</f>
        <v>0</v>
      </c>
      <c r="M1060" s="114">
        <f t="shared" si="639"/>
        <v>0</v>
      </c>
      <c r="N1060" s="115">
        <f t="shared" si="639"/>
        <v>0</v>
      </c>
      <c r="O1060" s="114">
        <f t="shared" si="639"/>
        <v>0</v>
      </c>
      <c r="P1060" s="116">
        <f>SUM(M1060:O1060)</f>
        <v>0</v>
      </c>
      <c r="Q1060" s="106"/>
    </row>
    <row r="1061" spans="1:17" ht="12.75" customHeight="1">
      <c r="A1061" s="225"/>
      <c r="B1061" s="226"/>
      <c r="C1061" s="226"/>
      <c r="D1061" s="226"/>
      <c r="E1061" s="102"/>
      <c r="F1061" s="102"/>
      <c r="G1061" s="102"/>
      <c r="H1061" s="102"/>
      <c r="I1061" s="74"/>
      <c r="J1061" s="74"/>
      <c r="K1061" s="74"/>
      <c r="L1061" s="138"/>
      <c r="M1061" s="102"/>
      <c r="N1061" s="104"/>
      <c r="O1061" s="102"/>
      <c r="P1061" s="105"/>
      <c r="Q1061" s="227"/>
    </row>
    <row r="1062" spans="1:17" ht="12.75" customHeight="1">
      <c r="A1062" s="145" t="s">
        <v>338</v>
      </c>
      <c r="B1062" s="102">
        <f>+B1063+B1067</f>
        <v>2854302</v>
      </c>
      <c r="C1062" s="102">
        <f>+C1063+C1067</f>
        <v>273736</v>
      </c>
      <c r="D1062" s="102">
        <f>+D1063+D1067</f>
        <v>3128038</v>
      </c>
      <c r="E1062" s="102">
        <f t="shared" ref="E1062:P1062" si="640">+E1063+E1067</f>
        <v>2639994</v>
      </c>
      <c r="F1062" s="102">
        <f t="shared" si="640"/>
        <v>476975</v>
      </c>
      <c r="G1062" s="102">
        <f t="shared" si="640"/>
        <v>89469</v>
      </c>
      <c r="H1062" s="102">
        <f t="shared" si="640"/>
        <v>3206438</v>
      </c>
      <c r="I1062" s="139">
        <f>+I1063+I1067</f>
        <v>1178694</v>
      </c>
      <c r="J1062" s="139">
        <f>+J1063+J1067</f>
        <v>242424</v>
      </c>
      <c r="K1062" s="139">
        <f>+K1063+K1067</f>
        <v>67698</v>
      </c>
      <c r="L1062" s="139">
        <f>+L1063+L1067</f>
        <v>1488816</v>
      </c>
      <c r="M1062" s="102">
        <f t="shared" si="640"/>
        <v>1461300</v>
      </c>
      <c r="N1062" s="104">
        <f t="shared" si="640"/>
        <v>234551</v>
      </c>
      <c r="O1062" s="102">
        <f t="shared" si="640"/>
        <v>21771</v>
      </c>
      <c r="P1062" s="105">
        <f t="shared" si="640"/>
        <v>1717622</v>
      </c>
      <c r="Q1062" s="106">
        <f>+L1062/H1062</f>
        <v>0.46432084450096961</v>
      </c>
    </row>
    <row r="1063" spans="1:17" ht="12.75" customHeight="1">
      <c r="A1063" s="127" t="s">
        <v>15</v>
      </c>
      <c r="B1063" s="108">
        <f>SUM(B1064:B1066)</f>
        <v>2854302</v>
      </c>
      <c r="C1063" s="108">
        <f>SUM(C1064:C1066)</f>
        <v>256867</v>
      </c>
      <c r="D1063" s="108">
        <f>SUM(D1064:D1066)</f>
        <v>3111169</v>
      </c>
      <c r="E1063" s="108">
        <f t="shared" ref="E1063:P1063" si="641">SUM(E1064:E1066)</f>
        <v>2639994</v>
      </c>
      <c r="F1063" s="108">
        <f t="shared" si="641"/>
        <v>476975</v>
      </c>
      <c r="G1063" s="108">
        <f t="shared" si="641"/>
        <v>72600</v>
      </c>
      <c r="H1063" s="108">
        <f t="shared" si="641"/>
        <v>3189569</v>
      </c>
      <c r="I1063" s="141">
        <f>SUM(I1064:I1066)</f>
        <v>1178694</v>
      </c>
      <c r="J1063" s="141">
        <f>SUM(J1064:J1066)</f>
        <v>242424</v>
      </c>
      <c r="K1063" s="141">
        <f>SUM(K1064:K1066)</f>
        <v>67698</v>
      </c>
      <c r="L1063" s="141">
        <f>SUM(L1064:L1066)</f>
        <v>1488816</v>
      </c>
      <c r="M1063" s="108">
        <f t="shared" si="641"/>
        <v>1461300</v>
      </c>
      <c r="N1063" s="111">
        <f t="shared" si="641"/>
        <v>234551</v>
      </c>
      <c r="O1063" s="108">
        <f t="shared" si="641"/>
        <v>4902</v>
      </c>
      <c r="P1063" s="112">
        <f t="shared" si="641"/>
        <v>1700753</v>
      </c>
      <c r="Q1063" s="106"/>
    </row>
    <row r="1064" spans="1:17" ht="12.75" customHeight="1">
      <c r="A1064" s="113" t="s">
        <v>16</v>
      </c>
      <c r="B1064" s="114">
        <f t="shared" ref="B1064:G1066" si="642">+B1073+B1082+B1091+B1100+B1109+B1118</f>
        <v>2646054</v>
      </c>
      <c r="C1064" s="114">
        <f t="shared" si="642"/>
        <v>0</v>
      </c>
      <c r="D1064" s="114">
        <f t="shared" si="642"/>
        <v>2646054</v>
      </c>
      <c r="E1064" s="114">
        <f t="shared" si="642"/>
        <v>2165856</v>
      </c>
      <c r="F1064" s="114">
        <f t="shared" si="642"/>
        <v>476975</v>
      </c>
      <c r="G1064" s="114">
        <f t="shared" si="642"/>
        <v>72600</v>
      </c>
      <c r="H1064" s="114">
        <f>SUM(E1064:G1064)</f>
        <v>2715431</v>
      </c>
      <c r="I1064" s="143">
        <f t="shared" ref="I1064:K1066" si="643">+I1073+I1082+I1091+I1100+I1109+I1118</f>
        <v>977511</v>
      </c>
      <c r="J1064" s="143">
        <f t="shared" si="643"/>
        <v>242424</v>
      </c>
      <c r="K1064" s="143">
        <f t="shared" si="643"/>
        <v>67698</v>
      </c>
      <c r="L1064" s="143">
        <f>SUM(I1064:K1064)</f>
        <v>1287633</v>
      </c>
      <c r="M1064" s="114">
        <f t="shared" ref="M1064:O1066" si="644">+E1064-I1064</f>
        <v>1188345</v>
      </c>
      <c r="N1064" s="115">
        <f t="shared" si="644"/>
        <v>234551</v>
      </c>
      <c r="O1064" s="114">
        <f t="shared" si="644"/>
        <v>4902</v>
      </c>
      <c r="P1064" s="116">
        <f>SUM(M1064:O1064)</f>
        <v>1427798</v>
      </c>
      <c r="Q1064" s="106"/>
    </row>
    <row r="1065" spans="1:17" ht="12.75" customHeight="1">
      <c r="A1065" s="113" t="s">
        <v>17</v>
      </c>
      <c r="B1065" s="114">
        <f t="shared" si="642"/>
        <v>0</v>
      </c>
      <c r="C1065" s="114">
        <f t="shared" si="642"/>
        <v>256867</v>
      </c>
      <c r="D1065" s="114">
        <f t="shared" si="642"/>
        <v>256867</v>
      </c>
      <c r="E1065" s="114">
        <f t="shared" si="642"/>
        <v>264151</v>
      </c>
      <c r="F1065" s="114">
        <f t="shared" si="642"/>
        <v>0</v>
      </c>
      <c r="G1065" s="114">
        <f t="shared" si="642"/>
        <v>0</v>
      </c>
      <c r="H1065" s="114">
        <f>SUM(E1065:G1065)</f>
        <v>264151</v>
      </c>
      <c r="I1065" s="143">
        <f t="shared" si="643"/>
        <v>111436</v>
      </c>
      <c r="J1065" s="143">
        <f t="shared" si="643"/>
        <v>0</v>
      </c>
      <c r="K1065" s="143">
        <f t="shared" si="643"/>
        <v>0</v>
      </c>
      <c r="L1065" s="143">
        <f>SUM(I1065:K1065)</f>
        <v>111436</v>
      </c>
      <c r="M1065" s="114">
        <f t="shared" si="644"/>
        <v>152715</v>
      </c>
      <c r="N1065" s="115">
        <f t="shared" si="644"/>
        <v>0</v>
      </c>
      <c r="O1065" s="114">
        <f t="shared" si="644"/>
        <v>0</v>
      </c>
      <c r="P1065" s="116">
        <f>SUM(M1065:O1065)</f>
        <v>152715</v>
      </c>
      <c r="Q1065" s="106"/>
    </row>
    <row r="1066" spans="1:17" ht="12.75" customHeight="1">
      <c r="A1066" s="113" t="s">
        <v>18</v>
      </c>
      <c r="B1066" s="114">
        <f t="shared" si="642"/>
        <v>208248</v>
      </c>
      <c r="C1066" s="114">
        <f t="shared" si="642"/>
        <v>0</v>
      </c>
      <c r="D1066" s="114">
        <f t="shared" si="642"/>
        <v>208248</v>
      </c>
      <c r="E1066" s="114">
        <f t="shared" si="642"/>
        <v>209987</v>
      </c>
      <c r="F1066" s="114">
        <f t="shared" si="642"/>
        <v>0</v>
      </c>
      <c r="G1066" s="114">
        <f t="shared" si="642"/>
        <v>0</v>
      </c>
      <c r="H1066" s="114">
        <f>SUM(E1066:G1066)</f>
        <v>209987</v>
      </c>
      <c r="I1066" s="143">
        <f t="shared" si="643"/>
        <v>89747</v>
      </c>
      <c r="J1066" s="143">
        <f t="shared" si="643"/>
        <v>0</v>
      </c>
      <c r="K1066" s="143">
        <f t="shared" si="643"/>
        <v>0</v>
      </c>
      <c r="L1066" s="143">
        <f>SUM(I1066:K1066)</f>
        <v>89747</v>
      </c>
      <c r="M1066" s="114">
        <f t="shared" si="644"/>
        <v>120240</v>
      </c>
      <c r="N1066" s="115">
        <f t="shared" si="644"/>
        <v>0</v>
      </c>
      <c r="O1066" s="114">
        <f t="shared" si="644"/>
        <v>0</v>
      </c>
      <c r="P1066" s="116">
        <f>SUM(M1066:O1066)</f>
        <v>120240</v>
      </c>
      <c r="Q1066" s="106"/>
    </row>
    <row r="1067" spans="1:17" ht="12.75" customHeight="1">
      <c r="A1067" s="113" t="s">
        <v>19</v>
      </c>
      <c r="B1067" s="102">
        <f>SUM(B1068:B1069)</f>
        <v>0</v>
      </c>
      <c r="C1067" s="102">
        <f>SUM(C1068:C1069)</f>
        <v>16869</v>
      </c>
      <c r="D1067" s="102">
        <f>SUM(D1068:D1069)</f>
        <v>16869</v>
      </c>
      <c r="E1067" s="102">
        <f t="shared" ref="E1067:P1067" si="645">SUM(E1068:E1069)</f>
        <v>0</v>
      </c>
      <c r="F1067" s="102">
        <f t="shared" si="645"/>
        <v>0</v>
      </c>
      <c r="G1067" s="102">
        <f t="shared" si="645"/>
        <v>16869</v>
      </c>
      <c r="H1067" s="102">
        <f t="shared" si="645"/>
        <v>16869</v>
      </c>
      <c r="I1067" s="139">
        <f>SUM(I1068:I1069)</f>
        <v>0</v>
      </c>
      <c r="J1067" s="139">
        <f>SUM(J1068:J1069)</f>
        <v>0</v>
      </c>
      <c r="K1067" s="139">
        <f>SUM(K1068:K1069)</f>
        <v>0</v>
      </c>
      <c r="L1067" s="139">
        <f>SUM(L1068:L1069)</f>
        <v>0</v>
      </c>
      <c r="M1067" s="102">
        <f t="shared" si="645"/>
        <v>0</v>
      </c>
      <c r="N1067" s="104">
        <f t="shared" si="645"/>
        <v>0</v>
      </c>
      <c r="O1067" s="102">
        <f t="shared" si="645"/>
        <v>16869</v>
      </c>
      <c r="P1067" s="105">
        <f t="shared" si="645"/>
        <v>16869</v>
      </c>
      <c r="Q1067" s="106"/>
    </row>
    <row r="1068" spans="1:17" ht="12.75" customHeight="1">
      <c r="A1068" s="113" t="s">
        <v>20</v>
      </c>
      <c r="B1068" s="114">
        <f t="shared" ref="B1068:G1069" si="646">+B1077+B1086+B1095+B1104+B1113+B1122</f>
        <v>0</v>
      </c>
      <c r="C1068" s="114">
        <f t="shared" si="646"/>
        <v>16869</v>
      </c>
      <c r="D1068" s="114">
        <f t="shared" si="646"/>
        <v>16869</v>
      </c>
      <c r="E1068" s="114">
        <f t="shared" si="646"/>
        <v>0</v>
      </c>
      <c r="F1068" s="114">
        <f t="shared" si="646"/>
        <v>0</v>
      </c>
      <c r="G1068" s="114">
        <f t="shared" si="646"/>
        <v>16869</v>
      </c>
      <c r="H1068" s="114">
        <f>SUM(E1068:G1068)</f>
        <v>16869</v>
      </c>
      <c r="I1068" s="143">
        <f t="shared" ref="I1068:K1069" si="647">+I1077+I1086+I1095+I1104+I1113+I1122</f>
        <v>0</v>
      </c>
      <c r="J1068" s="143">
        <f t="shared" si="647"/>
        <v>0</v>
      </c>
      <c r="K1068" s="143">
        <f t="shared" si="647"/>
        <v>0</v>
      </c>
      <c r="L1068" s="143">
        <f>SUM(I1068:K1068)</f>
        <v>0</v>
      </c>
      <c r="M1068" s="114">
        <f t="shared" ref="M1068:O1069" si="648">+E1068-I1068</f>
        <v>0</v>
      </c>
      <c r="N1068" s="115">
        <f t="shared" si="648"/>
        <v>0</v>
      </c>
      <c r="O1068" s="114">
        <f t="shared" si="648"/>
        <v>16869</v>
      </c>
      <c r="P1068" s="116">
        <f>SUM(M1068:O1068)</f>
        <v>16869</v>
      </c>
      <c r="Q1068" s="106"/>
    </row>
    <row r="1069" spans="1:17" ht="12.75" customHeight="1">
      <c r="A1069" s="113" t="s">
        <v>21</v>
      </c>
      <c r="B1069" s="114">
        <f t="shared" si="646"/>
        <v>0</v>
      </c>
      <c r="C1069" s="114">
        <f t="shared" si="646"/>
        <v>0</v>
      </c>
      <c r="D1069" s="114">
        <f t="shared" si="646"/>
        <v>0</v>
      </c>
      <c r="E1069" s="114">
        <f t="shared" si="646"/>
        <v>0</v>
      </c>
      <c r="F1069" s="114">
        <f t="shared" si="646"/>
        <v>0</v>
      </c>
      <c r="G1069" s="114">
        <f t="shared" si="646"/>
        <v>0</v>
      </c>
      <c r="H1069" s="114">
        <f>SUM(E1069:G1069)</f>
        <v>0</v>
      </c>
      <c r="I1069" s="143">
        <f t="shared" si="647"/>
        <v>0</v>
      </c>
      <c r="J1069" s="143">
        <f t="shared" si="647"/>
        <v>0</v>
      </c>
      <c r="K1069" s="143">
        <f t="shared" si="647"/>
        <v>0</v>
      </c>
      <c r="L1069" s="143">
        <f>SUM(I1069:K1069)</f>
        <v>0</v>
      </c>
      <c r="M1069" s="114">
        <f t="shared" si="648"/>
        <v>0</v>
      </c>
      <c r="N1069" s="115">
        <f t="shared" si="648"/>
        <v>0</v>
      </c>
      <c r="O1069" s="114">
        <f t="shared" si="648"/>
        <v>0</v>
      </c>
      <c r="P1069" s="116">
        <f>SUM(M1069:O1069)</f>
        <v>0</v>
      </c>
      <c r="Q1069" s="106"/>
    </row>
    <row r="1070" spans="1:17" ht="12.75" customHeight="1">
      <c r="A1070" s="145"/>
      <c r="B1070" s="146"/>
      <c r="C1070" s="146"/>
      <c r="D1070" s="146"/>
      <c r="E1070" s="114"/>
      <c r="F1070" s="114"/>
      <c r="G1070" s="114"/>
      <c r="H1070" s="114"/>
      <c r="I1070" s="63"/>
      <c r="J1070" s="63"/>
      <c r="K1070" s="63"/>
      <c r="L1070" s="79"/>
      <c r="M1070" s="114"/>
      <c r="N1070" s="115"/>
      <c r="O1070" s="114"/>
      <c r="P1070" s="116"/>
      <c r="Q1070" s="106"/>
    </row>
    <row r="1071" spans="1:17" ht="12.75" customHeight="1">
      <c r="A1071" s="120" t="s">
        <v>339</v>
      </c>
      <c r="B1071" s="102">
        <f>+B1072+B1076</f>
        <v>96594</v>
      </c>
      <c r="C1071" s="102">
        <f>+C1072+C1076</f>
        <v>0</v>
      </c>
      <c r="D1071" s="102">
        <f>+D1072+D1076</f>
        <v>96594</v>
      </c>
      <c r="E1071" s="102">
        <f t="shared" ref="E1071:P1071" si="649">+E1072+E1076</f>
        <v>77048</v>
      </c>
      <c r="F1071" s="102">
        <f t="shared" si="649"/>
        <v>23973</v>
      </c>
      <c r="G1071" s="102">
        <f t="shared" si="649"/>
        <v>3223</v>
      </c>
      <c r="H1071" s="102">
        <f t="shared" si="649"/>
        <v>104244</v>
      </c>
      <c r="I1071" s="45">
        <f t="shared" si="649"/>
        <v>52631</v>
      </c>
      <c r="J1071" s="45">
        <f t="shared" si="649"/>
        <v>15377</v>
      </c>
      <c r="K1071" s="45">
        <f t="shared" si="649"/>
        <v>3223</v>
      </c>
      <c r="L1071" s="103">
        <f t="shared" si="649"/>
        <v>71231</v>
      </c>
      <c r="M1071" s="102">
        <f t="shared" si="649"/>
        <v>24417</v>
      </c>
      <c r="N1071" s="104">
        <f t="shared" si="649"/>
        <v>8596</v>
      </c>
      <c r="O1071" s="102">
        <f t="shared" si="649"/>
        <v>0</v>
      </c>
      <c r="P1071" s="105">
        <f t="shared" si="649"/>
        <v>33013</v>
      </c>
      <c r="Q1071" s="106">
        <f>+L1071/H1071</f>
        <v>0.68331031042554002</v>
      </c>
    </row>
    <row r="1072" spans="1:17" ht="12.75" customHeight="1">
      <c r="A1072" s="127" t="s">
        <v>15</v>
      </c>
      <c r="B1072" s="108">
        <f>SUM(B1073:B1075)</f>
        <v>96594</v>
      </c>
      <c r="C1072" s="108">
        <f>SUM(C1073:C1075)</f>
        <v>0</v>
      </c>
      <c r="D1072" s="108">
        <f>SUM(D1073:D1075)</f>
        <v>96594</v>
      </c>
      <c r="E1072" s="108">
        <f t="shared" ref="E1072:P1072" si="650">SUM(E1073:E1075)</f>
        <v>77048</v>
      </c>
      <c r="F1072" s="108">
        <f t="shared" si="650"/>
        <v>23973</v>
      </c>
      <c r="G1072" s="108">
        <f t="shared" si="650"/>
        <v>3223</v>
      </c>
      <c r="H1072" s="108">
        <f t="shared" si="650"/>
        <v>104244</v>
      </c>
      <c r="I1072" s="109">
        <f>SUM(I1073:I1075)</f>
        <v>52631</v>
      </c>
      <c r="J1072" s="109">
        <f>SUM(J1073:J1075)</f>
        <v>15377</v>
      </c>
      <c r="K1072" s="109">
        <f>SUM(K1073:K1075)</f>
        <v>3223</v>
      </c>
      <c r="L1072" s="110">
        <f>SUM(L1073:L1075)</f>
        <v>71231</v>
      </c>
      <c r="M1072" s="108">
        <f t="shared" si="650"/>
        <v>24417</v>
      </c>
      <c r="N1072" s="111">
        <f t="shared" si="650"/>
        <v>8596</v>
      </c>
      <c r="O1072" s="108">
        <f t="shared" si="650"/>
        <v>0</v>
      </c>
      <c r="P1072" s="112">
        <f t="shared" si="650"/>
        <v>33013</v>
      </c>
      <c r="Q1072" s="106"/>
    </row>
    <row r="1073" spans="1:17" ht="12.75" customHeight="1">
      <c r="A1073" s="113" t="s">
        <v>16</v>
      </c>
      <c r="B1073" s="114">
        <v>90669</v>
      </c>
      <c r="C1073" s="114"/>
      <c r="D1073" s="114">
        <f>+B1073+C1073</f>
        <v>90669</v>
      </c>
      <c r="E1073" s="114">
        <v>63473</v>
      </c>
      <c r="F1073" s="114">
        <v>23973</v>
      </c>
      <c r="G1073" s="114">
        <v>3223</v>
      </c>
      <c r="H1073" s="114">
        <f>SUM(E1073:G1073)</f>
        <v>90669</v>
      </c>
      <c r="I1073" s="43">
        <v>44602</v>
      </c>
      <c r="J1073" s="43">
        <v>15377</v>
      </c>
      <c r="K1073" s="43">
        <v>3223</v>
      </c>
      <c r="L1073" s="78">
        <f>SUM(I1073:K1073)</f>
        <v>63202</v>
      </c>
      <c r="M1073" s="114">
        <f t="shared" ref="M1073:O1075" si="651">+E1073-I1073</f>
        <v>18871</v>
      </c>
      <c r="N1073" s="115">
        <f t="shared" si="651"/>
        <v>8596</v>
      </c>
      <c r="O1073" s="114">
        <f t="shared" si="651"/>
        <v>0</v>
      </c>
      <c r="P1073" s="116">
        <f>SUM(M1073:O1073)</f>
        <v>27467</v>
      </c>
      <c r="Q1073" s="106"/>
    </row>
    <row r="1074" spans="1:17" ht="12.75" customHeight="1">
      <c r="A1074" s="113" t="s">
        <v>17</v>
      </c>
      <c r="B1074" s="114"/>
      <c r="C1074" s="114"/>
      <c r="D1074" s="114">
        <f>+B1074+C1074</f>
        <v>0</v>
      </c>
      <c r="E1074" s="114">
        <v>7079</v>
      </c>
      <c r="F1074" s="114"/>
      <c r="G1074" s="114"/>
      <c r="H1074" s="114">
        <f>SUM(E1074:G1074)</f>
        <v>7079</v>
      </c>
      <c r="I1074" s="43">
        <f>3587+272</f>
        <v>3859</v>
      </c>
      <c r="J1074" s="43"/>
      <c r="K1074" s="43"/>
      <c r="L1074" s="78">
        <f>SUM(I1074:K1074)</f>
        <v>3859</v>
      </c>
      <c r="M1074" s="114">
        <f t="shared" si="651"/>
        <v>3220</v>
      </c>
      <c r="N1074" s="115">
        <f t="shared" si="651"/>
        <v>0</v>
      </c>
      <c r="O1074" s="114">
        <f t="shared" si="651"/>
        <v>0</v>
      </c>
      <c r="P1074" s="116">
        <f>SUM(M1074:O1074)</f>
        <v>3220</v>
      </c>
      <c r="Q1074" s="106"/>
    </row>
    <row r="1075" spans="1:17" ht="12.75" customHeight="1">
      <c r="A1075" s="113" t="s">
        <v>18</v>
      </c>
      <c r="B1075" s="114">
        <v>5925</v>
      </c>
      <c r="C1075" s="114"/>
      <c r="D1075" s="114">
        <f>+B1075+C1075</f>
        <v>5925</v>
      </c>
      <c r="E1075" s="114">
        <v>6496</v>
      </c>
      <c r="F1075" s="114"/>
      <c r="G1075" s="114"/>
      <c r="H1075" s="114">
        <f>SUM(E1075:G1075)</f>
        <v>6496</v>
      </c>
      <c r="I1075" s="43">
        <v>4170</v>
      </c>
      <c r="J1075" s="43"/>
      <c r="K1075" s="43"/>
      <c r="L1075" s="78">
        <f>SUM(I1075:K1075)</f>
        <v>4170</v>
      </c>
      <c r="M1075" s="114">
        <f t="shared" si="651"/>
        <v>2326</v>
      </c>
      <c r="N1075" s="115">
        <f t="shared" si="651"/>
        <v>0</v>
      </c>
      <c r="O1075" s="114">
        <f t="shared" si="651"/>
        <v>0</v>
      </c>
      <c r="P1075" s="116">
        <f>SUM(M1075:O1075)</f>
        <v>2326</v>
      </c>
      <c r="Q1075" s="106"/>
    </row>
    <row r="1076" spans="1:17" ht="12.75" customHeight="1">
      <c r="A1076" s="113" t="s">
        <v>19</v>
      </c>
      <c r="B1076" s="102">
        <f>SUM(B1077:B1078)</f>
        <v>0</v>
      </c>
      <c r="C1076" s="102">
        <f>SUM(C1077:C1078)</f>
        <v>0</v>
      </c>
      <c r="D1076" s="102">
        <f>SUM(D1077:D1078)</f>
        <v>0</v>
      </c>
      <c r="E1076" s="102">
        <f t="shared" ref="E1076:P1076" si="652">SUM(E1077:E1078)</f>
        <v>0</v>
      </c>
      <c r="F1076" s="102">
        <f t="shared" si="652"/>
        <v>0</v>
      </c>
      <c r="G1076" s="102">
        <f t="shared" si="652"/>
        <v>0</v>
      </c>
      <c r="H1076" s="102">
        <f t="shared" si="652"/>
        <v>0</v>
      </c>
      <c r="I1076" s="45">
        <f>SUM(I1077:I1078)</f>
        <v>0</v>
      </c>
      <c r="J1076" s="45">
        <f>SUM(J1077:J1078)</f>
        <v>0</v>
      </c>
      <c r="K1076" s="45">
        <f>SUM(K1077:K1078)</f>
        <v>0</v>
      </c>
      <c r="L1076" s="103">
        <f>SUM(L1077:L1078)</f>
        <v>0</v>
      </c>
      <c r="M1076" s="102">
        <f t="shared" si="652"/>
        <v>0</v>
      </c>
      <c r="N1076" s="104">
        <f t="shared" si="652"/>
        <v>0</v>
      </c>
      <c r="O1076" s="102">
        <f t="shared" si="652"/>
        <v>0</v>
      </c>
      <c r="P1076" s="105">
        <f t="shared" si="652"/>
        <v>0</v>
      </c>
      <c r="Q1076" s="106"/>
    </row>
    <row r="1077" spans="1:17" ht="12.75" customHeight="1">
      <c r="A1077" s="113" t="s">
        <v>20</v>
      </c>
      <c r="B1077" s="114"/>
      <c r="C1077" s="114"/>
      <c r="D1077" s="114">
        <f>+B1077+C1077</f>
        <v>0</v>
      </c>
      <c r="E1077" s="114"/>
      <c r="F1077" s="114"/>
      <c r="G1077" s="114"/>
      <c r="H1077" s="114">
        <f>SUM(E1077:G1077)</f>
        <v>0</v>
      </c>
      <c r="I1077" s="43"/>
      <c r="J1077" s="43"/>
      <c r="K1077" s="43"/>
      <c r="L1077" s="78">
        <f>SUM(I1077:K1077)</f>
        <v>0</v>
      </c>
      <c r="M1077" s="114">
        <f t="shared" ref="M1077:O1078" si="653">+E1077-I1077</f>
        <v>0</v>
      </c>
      <c r="N1077" s="115">
        <f t="shared" si="653"/>
        <v>0</v>
      </c>
      <c r="O1077" s="114">
        <f t="shared" si="653"/>
        <v>0</v>
      </c>
      <c r="P1077" s="116">
        <f>SUM(M1077:O1077)</f>
        <v>0</v>
      </c>
      <c r="Q1077" s="106"/>
    </row>
    <row r="1078" spans="1:17" ht="12.75" customHeight="1">
      <c r="A1078" s="113" t="s">
        <v>21</v>
      </c>
      <c r="B1078" s="114"/>
      <c r="C1078" s="114"/>
      <c r="D1078" s="114">
        <f>+B1078+C1078</f>
        <v>0</v>
      </c>
      <c r="E1078" s="114"/>
      <c r="F1078" s="114"/>
      <c r="G1078" s="114"/>
      <c r="H1078" s="114">
        <f>SUM(E1078:G1078)</f>
        <v>0</v>
      </c>
      <c r="I1078" s="43"/>
      <c r="J1078" s="43"/>
      <c r="K1078" s="43"/>
      <c r="L1078" s="78">
        <f>SUM(I1078:K1078)</f>
        <v>0</v>
      </c>
      <c r="M1078" s="114">
        <f t="shared" si="653"/>
        <v>0</v>
      </c>
      <c r="N1078" s="115">
        <f t="shared" si="653"/>
        <v>0</v>
      </c>
      <c r="O1078" s="114">
        <f t="shared" si="653"/>
        <v>0</v>
      </c>
      <c r="P1078" s="116">
        <f>SUM(M1078:O1078)</f>
        <v>0</v>
      </c>
      <c r="Q1078" s="106"/>
    </row>
    <row r="1079" spans="1:17" ht="12.75" customHeight="1">
      <c r="A1079" s="121"/>
      <c r="B1079" s="122"/>
      <c r="C1079" s="122"/>
      <c r="D1079" s="122"/>
      <c r="E1079" s="114"/>
      <c r="F1079" s="114"/>
      <c r="G1079" s="114"/>
      <c r="H1079" s="114"/>
      <c r="I1079" s="63"/>
      <c r="J1079" s="63"/>
      <c r="K1079" s="63"/>
      <c r="L1079" s="79"/>
      <c r="M1079" s="114"/>
      <c r="N1079" s="115"/>
      <c r="O1079" s="114"/>
      <c r="P1079" s="116"/>
      <c r="Q1079" s="106"/>
    </row>
    <row r="1080" spans="1:17">
      <c r="A1080" s="120" t="s">
        <v>340</v>
      </c>
      <c r="B1080" s="102">
        <f>+B1081+B1085</f>
        <v>90868</v>
      </c>
      <c r="C1080" s="102">
        <f>+C1081+C1085</f>
        <v>14694</v>
      </c>
      <c r="D1080" s="102">
        <f>+D1081+D1085</f>
        <v>105562</v>
      </c>
      <c r="E1080" s="102">
        <f t="shared" ref="E1080:P1080" si="654">+E1081+E1085</f>
        <v>78220</v>
      </c>
      <c r="F1080" s="102">
        <f t="shared" si="654"/>
        <v>27911</v>
      </c>
      <c r="G1080" s="102">
        <f t="shared" si="654"/>
        <v>2244</v>
      </c>
      <c r="H1080" s="102">
        <f t="shared" si="654"/>
        <v>108375</v>
      </c>
      <c r="I1080" s="45">
        <f t="shared" si="654"/>
        <v>77574</v>
      </c>
      <c r="J1080" s="45">
        <f t="shared" si="654"/>
        <v>27911</v>
      </c>
      <c r="K1080" s="45">
        <f t="shared" si="654"/>
        <v>2244</v>
      </c>
      <c r="L1080" s="103">
        <f t="shared" si="654"/>
        <v>107729</v>
      </c>
      <c r="M1080" s="102">
        <f t="shared" si="654"/>
        <v>646</v>
      </c>
      <c r="N1080" s="104">
        <f t="shared" si="654"/>
        <v>0</v>
      </c>
      <c r="O1080" s="102">
        <f t="shared" si="654"/>
        <v>0</v>
      </c>
      <c r="P1080" s="105">
        <f t="shared" si="654"/>
        <v>646</v>
      </c>
      <c r="Q1080" s="106">
        <f>+L1080/H1080</f>
        <v>0.99403921568627451</v>
      </c>
    </row>
    <row r="1081" spans="1:17" ht="12.75" customHeight="1">
      <c r="A1081" s="127" t="s">
        <v>15</v>
      </c>
      <c r="B1081" s="108">
        <f>SUM(B1082:B1084)</f>
        <v>90868</v>
      </c>
      <c r="C1081" s="108">
        <f>SUM(C1082:C1084)</f>
        <v>14694</v>
      </c>
      <c r="D1081" s="108">
        <f>SUM(D1082:D1084)</f>
        <v>105562</v>
      </c>
      <c r="E1081" s="108">
        <f t="shared" ref="E1081:P1081" si="655">SUM(E1082:E1084)</f>
        <v>78220</v>
      </c>
      <c r="F1081" s="108">
        <f t="shared" si="655"/>
        <v>27911</v>
      </c>
      <c r="G1081" s="108">
        <f t="shared" si="655"/>
        <v>2244</v>
      </c>
      <c r="H1081" s="108">
        <f t="shared" si="655"/>
        <v>108375</v>
      </c>
      <c r="I1081" s="109">
        <f>SUM(I1082:I1084)</f>
        <v>77574</v>
      </c>
      <c r="J1081" s="109">
        <f>SUM(J1082:J1084)</f>
        <v>27911</v>
      </c>
      <c r="K1081" s="109">
        <f>SUM(K1082:K1084)</f>
        <v>2244</v>
      </c>
      <c r="L1081" s="110">
        <f>SUM(L1082:L1084)</f>
        <v>107729</v>
      </c>
      <c r="M1081" s="108">
        <f t="shared" si="655"/>
        <v>646</v>
      </c>
      <c r="N1081" s="111">
        <f t="shared" si="655"/>
        <v>0</v>
      </c>
      <c r="O1081" s="108">
        <f t="shared" si="655"/>
        <v>0</v>
      </c>
      <c r="P1081" s="112">
        <f t="shared" si="655"/>
        <v>646</v>
      </c>
      <c r="Q1081" s="106"/>
    </row>
    <row r="1082" spans="1:17" ht="12.75" customHeight="1">
      <c r="A1082" s="113" t="s">
        <v>16</v>
      </c>
      <c r="B1082" s="114">
        <v>85525</v>
      </c>
      <c r="C1082" s="114"/>
      <c r="D1082" s="114">
        <f>+B1082+C1082</f>
        <v>85525</v>
      </c>
      <c r="E1082" s="114">
        <v>57614</v>
      </c>
      <c r="F1082" s="114">
        <v>27911</v>
      </c>
      <c r="G1082" s="114">
        <v>2244</v>
      </c>
      <c r="H1082" s="114">
        <f>SUM(E1082:G1082)</f>
        <v>87769</v>
      </c>
      <c r="I1082" s="43">
        <v>57614</v>
      </c>
      <c r="J1082" s="43">
        <v>27911</v>
      </c>
      <c r="K1082" s="43">
        <v>2244</v>
      </c>
      <c r="L1082" s="78">
        <f>SUM(I1082:K1082)</f>
        <v>87769</v>
      </c>
      <c r="M1082" s="114">
        <f t="shared" ref="M1082:O1084" si="656">+E1082-I1082</f>
        <v>0</v>
      </c>
      <c r="N1082" s="115">
        <f t="shared" si="656"/>
        <v>0</v>
      </c>
      <c r="O1082" s="114">
        <f t="shared" si="656"/>
        <v>0</v>
      </c>
      <c r="P1082" s="116">
        <f>SUM(M1082:O1082)</f>
        <v>0</v>
      </c>
      <c r="Q1082" s="106"/>
    </row>
    <row r="1083" spans="1:17" ht="12.75" customHeight="1">
      <c r="A1083" s="113" t="s">
        <v>17</v>
      </c>
      <c r="B1083" s="114"/>
      <c r="C1083" s="114">
        <f>+H1083</f>
        <v>14694</v>
      </c>
      <c r="D1083" s="114">
        <f>+B1083+C1083</f>
        <v>14694</v>
      </c>
      <c r="E1083" s="114">
        <v>14694</v>
      </c>
      <c r="F1083" s="114"/>
      <c r="G1083" s="114"/>
      <c r="H1083" s="114">
        <f>SUM(E1083:G1083)</f>
        <v>14694</v>
      </c>
      <c r="I1083" s="43">
        <f>9150+5544</f>
        <v>14694</v>
      </c>
      <c r="J1083" s="43"/>
      <c r="K1083" s="43"/>
      <c r="L1083" s="78">
        <f>SUM(I1083:K1083)</f>
        <v>14694</v>
      </c>
      <c r="M1083" s="114">
        <f t="shared" si="656"/>
        <v>0</v>
      </c>
      <c r="N1083" s="115">
        <f t="shared" si="656"/>
        <v>0</v>
      </c>
      <c r="O1083" s="114">
        <f t="shared" si="656"/>
        <v>0</v>
      </c>
      <c r="P1083" s="116">
        <f>SUM(M1083:O1083)</f>
        <v>0</v>
      </c>
      <c r="Q1083" s="106"/>
    </row>
    <row r="1084" spans="1:17" ht="12.75" customHeight="1">
      <c r="A1084" s="113" t="s">
        <v>18</v>
      </c>
      <c r="B1084" s="114">
        <v>5343</v>
      </c>
      <c r="C1084" s="114"/>
      <c r="D1084" s="114">
        <f>+B1084+C1084</f>
        <v>5343</v>
      </c>
      <c r="E1084" s="114">
        <v>5912</v>
      </c>
      <c r="F1084" s="114"/>
      <c r="G1084" s="114"/>
      <c r="H1084" s="114">
        <f>SUM(E1084:G1084)</f>
        <v>5912</v>
      </c>
      <c r="I1084" s="43">
        <v>5266</v>
      </c>
      <c r="J1084" s="43"/>
      <c r="K1084" s="43"/>
      <c r="L1084" s="78">
        <f>SUM(I1084:K1084)</f>
        <v>5266</v>
      </c>
      <c r="M1084" s="114">
        <f t="shared" si="656"/>
        <v>646</v>
      </c>
      <c r="N1084" s="115">
        <f t="shared" si="656"/>
        <v>0</v>
      </c>
      <c r="O1084" s="114">
        <f t="shared" si="656"/>
        <v>0</v>
      </c>
      <c r="P1084" s="116">
        <f>SUM(M1084:O1084)</f>
        <v>646</v>
      </c>
      <c r="Q1084" s="106"/>
    </row>
    <row r="1085" spans="1:17" ht="12.75" customHeight="1">
      <c r="A1085" s="113" t="s">
        <v>19</v>
      </c>
      <c r="B1085" s="102">
        <f>SUM(B1086:B1087)</f>
        <v>0</v>
      </c>
      <c r="C1085" s="102">
        <f>SUM(C1086:C1087)</f>
        <v>0</v>
      </c>
      <c r="D1085" s="102">
        <f>SUM(D1086:D1087)</f>
        <v>0</v>
      </c>
      <c r="E1085" s="102">
        <f t="shared" ref="E1085:P1085" si="657">SUM(E1086:E1087)</f>
        <v>0</v>
      </c>
      <c r="F1085" s="102">
        <f t="shared" si="657"/>
        <v>0</v>
      </c>
      <c r="G1085" s="102">
        <f t="shared" si="657"/>
        <v>0</v>
      </c>
      <c r="H1085" s="102">
        <f t="shared" si="657"/>
        <v>0</v>
      </c>
      <c r="I1085" s="45">
        <f>SUM(I1086:I1087)</f>
        <v>0</v>
      </c>
      <c r="J1085" s="45">
        <f>SUM(J1086:J1087)</f>
        <v>0</v>
      </c>
      <c r="K1085" s="45">
        <f>SUM(K1086:K1087)</f>
        <v>0</v>
      </c>
      <c r="L1085" s="103">
        <f>SUM(L1086:L1087)</f>
        <v>0</v>
      </c>
      <c r="M1085" s="102">
        <f t="shared" si="657"/>
        <v>0</v>
      </c>
      <c r="N1085" s="104">
        <f t="shared" si="657"/>
        <v>0</v>
      </c>
      <c r="O1085" s="102">
        <f t="shared" si="657"/>
        <v>0</v>
      </c>
      <c r="P1085" s="105">
        <f t="shared" si="657"/>
        <v>0</v>
      </c>
      <c r="Q1085" s="106"/>
    </row>
    <row r="1086" spans="1:17" ht="12.75" customHeight="1">
      <c r="A1086" s="113" t="s">
        <v>20</v>
      </c>
      <c r="B1086" s="114"/>
      <c r="C1086" s="114"/>
      <c r="D1086" s="114">
        <f>+B1086+C1086</f>
        <v>0</v>
      </c>
      <c r="E1086" s="114"/>
      <c r="F1086" s="114"/>
      <c r="G1086" s="114"/>
      <c r="H1086" s="114">
        <f>SUM(E1086:G1086)</f>
        <v>0</v>
      </c>
      <c r="I1086" s="43"/>
      <c r="J1086" s="43"/>
      <c r="K1086" s="43"/>
      <c r="L1086" s="78">
        <f>SUM(I1086:K1086)</f>
        <v>0</v>
      </c>
      <c r="M1086" s="114">
        <f t="shared" ref="M1086:O1087" si="658">+E1086-I1086</f>
        <v>0</v>
      </c>
      <c r="N1086" s="115">
        <f t="shared" si="658"/>
        <v>0</v>
      </c>
      <c r="O1086" s="114">
        <f t="shared" si="658"/>
        <v>0</v>
      </c>
      <c r="P1086" s="116">
        <f>SUM(M1086:O1086)</f>
        <v>0</v>
      </c>
      <c r="Q1086" s="106"/>
    </row>
    <row r="1087" spans="1:17" ht="12.75" customHeight="1">
      <c r="A1087" s="113" t="s">
        <v>21</v>
      </c>
      <c r="B1087" s="114"/>
      <c r="C1087" s="114">
        <f>+H1087</f>
        <v>0</v>
      </c>
      <c r="D1087" s="114">
        <f>+B1087+C1087</f>
        <v>0</v>
      </c>
      <c r="E1087" s="114"/>
      <c r="F1087" s="114"/>
      <c r="G1087" s="114"/>
      <c r="H1087" s="114">
        <f>SUM(E1087:G1087)</f>
        <v>0</v>
      </c>
      <c r="I1087" s="43"/>
      <c r="J1087" s="43"/>
      <c r="K1087" s="43"/>
      <c r="L1087" s="78">
        <f>SUM(I1087:K1087)</f>
        <v>0</v>
      </c>
      <c r="M1087" s="114">
        <f t="shared" si="658"/>
        <v>0</v>
      </c>
      <c r="N1087" s="115">
        <f t="shared" si="658"/>
        <v>0</v>
      </c>
      <c r="O1087" s="114">
        <f t="shared" si="658"/>
        <v>0</v>
      </c>
      <c r="P1087" s="116">
        <f>SUM(M1087:O1087)</f>
        <v>0</v>
      </c>
      <c r="Q1087" s="106"/>
    </row>
    <row r="1088" spans="1:17" ht="12.75" customHeight="1">
      <c r="A1088" s="121"/>
      <c r="B1088" s="122"/>
      <c r="C1088" s="122"/>
      <c r="D1088" s="122"/>
      <c r="E1088" s="114"/>
      <c r="F1088" s="114"/>
      <c r="G1088" s="114"/>
      <c r="H1088" s="114"/>
      <c r="I1088" s="63"/>
      <c r="J1088" s="63"/>
      <c r="K1088" s="63"/>
      <c r="L1088" s="79"/>
      <c r="M1088" s="114"/>
      <c r="N1088" s="115"/>
      <c r="O1088" s="114"/>
      <c r="P1088" s="116"/>
      <c r="Q1088" s="106"/>
    </row>
    <row r="1089" spans="1:17">
      <c r="A1089" s="120" t="s">
        <v>341</v>
      </c>
      <c r="B1089" s="102">
        <f>+B1090+B1094</f>
        <v>142272</v>
      </c>
      <c r="C1089" s="102">
        <f>+C1090+C1094</f>
        <v>28994</v>
      </c>
      <c r="D1089" s="102">
        <f>+D1090+D1094</f>
        <v>171266</v>
      </c>
      <c r="E1089" s="102">
        <f t="shared" ref="E1089:P1089" si="659">+E1090+E1094</f>
        <v>125782</v>
      </c>
      <c r="F1089" s="102">
        <f t="shared" si="659"/>
        <v>45915</v>
      </c>
      <c r="G1089" s="102">
        <f t="shared" si="659"/>
        <v>20848</v>
      </c>
      <c r="H1089" s="102">
        <f t="shared" si="659"/>
        <v>192545</v>
      </c>
      <c r="I1089" s="45">
        <f t="shared" si="659"/>
        <v>125782</v>
      </c>
      <c r="J1089" s="45">
        <f t="shared" si="659"/>
        <v>45201</v>
      </c>
      <c r="K1089" s="45">
        <f t="shared" si="659"/>
        <v>20848</v>
      </c>
      <c r="L1089" s="103">
        <f t="shared" si="659"/>
        <v>191831</v>
      </c>
      <c r="M1089" s="102">
        <f t="shared" si="659"/>
        <v>0</v>
      </c>
      <c r="N1089" s="104">
        <f t="shared" si="659"/>
        <v>714</v>
      </c>
      <c r="O1089" s="102">
        <f t="shared" si="659"/>
        <v>0</v>
      </c>
      <c r="P1089" s="105">
        <f t="shared" si="659"/>
        <v>714</v>
      </c>
      <c r="Q1089" s="106">
        <f>+L1089/H1089</f>
        <v>0.99629177594847962</v>
      </c>
    </row>
    <row r="1090" spans="1:17" ht="12.75" customHeight="1">
      <c r="A1090" s="127" t="s">
        <v>15</v>
      </c>
      <c r="B1090" s="108">
        <f>SUM(B1091:B1093)</f>
        <v>142272</v>
      </c>
      <c r="C1090" s="108">
        <f>SUM(C1091:C1093)</f>
        <v>28994</v>
      </c>
      <c r="D1090" s="108">
        <f>SUM(D1091:D1093)</f>
        <v>171266</v>
      </c>
      <c r="E1090" s="108">
        <f t="shared" ref="E1090:P1090" si="660">SUM(E1091:E1093)</f>
        <v>125782</v>
      </c>
      <c r="F1090" s="108">
        <f t="shared" si="660"/>
        <v>45915</v>
      </c>
      <c r="G1090" s="108">
        <f t="shared" si="660"/>
        <v>20848</v>
      </c>
      <c r="H1090" s="108">
        <f t="shared" si="660"/>
        <v>192545</v>
      </c>
      <c r="I1090" s="109">
        <f>SUM(I1091:I1093)</f>
        <v>125782</v>
      </c>
      <c r="J1090" s="109">
        <f>SUM(J1091:J1093)</f>
        <v>45201</v>
      </c>
      <c r="K1090" s="109">
        <f>SUM(K1091:K1093)</f>
        <v>20848</v>
      </c>
      <c r="L1090" s="110">
        <f>SUM(L1091:L1093)</f>
        <v>191831</v>
      </c>
      <c r="M1090" s="108">
        <f t="shared" si="660"/>
        <v>0</v>
      </c>
      <c r="N1090" s="111">
        <f t="shared" si="660"/>
        <v>714</v>
      </c>
      <c r="O1090" s="108">
        <f t="shared" si="660"/>
        <v>0</v>
      </c>
      <c r="P1090" s="112">
        <f t="shared" si="660"/>
        <v>714</v>
      </c>
      <c r="Q1090" s="106"/>
    </row>
    <row r="1091" spans="1:17" ht="12.75" customHeight="1">
      <c r="A1091" s="113" t="s">
        <v>16</v>
      </c>
      <c r="B1091" s="114">
        <v>133900</v>
      </c>
      <c r="C1091" s="114"/>
      <c r="D1091" s="114">
        <f>+B1091+C1091</f>
        <v>133900</v>
      </c>
      <c r="E1091" s="114">
        <v>87985</v>
      </c>
      <c r="F1091" s="114">
        <v>45915</v>
      </c>
      <c r="G1091" s="114">
        <v>20848</v>
      </c>
      <c r="H1091" s="114">
        <f>SUM(E1091:G1091)</f>
        <v>154748</v>
      </c>
      <c r="I1091" s="43">
        <v>87985</v>
      </c>
      <c r="J1091" s="43">
        <v>45201</v>
      </c>
      <c r="K1091" s="43">
        <v>20848</v>
      </c>
      <c r="L1091" s="78">
        <f>SUM(I1091:K1091)</f>
        <v>154034</v>
      </c>
      <c r="M1091" s="114">
        <f t="shared" ref="M1091:O1093" si="661">+E1091-I1091</f>
        <v>0</v>
      </c>
      <c r="N1091" s="115">
        <f t="shared" si="661"/>
        <v>714</v>
      </c>
      <c r="O1091" s="114">
        <f t="shared" si="661"/>
        <v>0</v>
      </c>
      <c r="P1091" s="116">
        <f>SUM(M1091:O1091)</f>
        <v>714</v>
      </c>
      <c r="Q1091" s="106"/>
    </row>
    <row r="1092" spans="1:17" ht="12.75" customHeight="1">
      <c r="A1092" s="113" t="s">
        <v>17</v>
      </c>
      <c r="B1092" s="114"/>
      <c r="C1092" s="114">
        <f>+H1092</f>
        <v>28994</v>
      </c>
      <c r="D1092" s="114">
        <f>+B1092+C1092</f>
        <v>28994</v>
      </c>
      <c r="E1092" s="114">
        <v>28994</v>
      </c>
      <c r="F1092" s="114"/>
      <c r="G1092" s="114"/>
      <c r="H1092" s="114">
        <f>SUM(E1092:G1092)</f>
        <v>28994</v>
      </c>
      <c r="I1092" s="43">
        <f>8351+20643</f>
        <v>28994</v>
      </c>
      <c r="J1092" s="43"/>
      <c r="K1092" s="43"/>
      <c r="L1092" s="78">
        <f>SUM(I1092:K1092)</f>
        <v>28994</v>
      </c>
      <c r="M1092" s="114">
        <f t="shared" si="661"/>
        <v>0</v>
      </c>
      <c r="N1092" s="115">
        <f t="shared" si="661"/>
        <v>0</v>
      </c>
      <c r="O1092" s="114">
        <f t="shared" si="661"/>
        <v>0</v>
      </c>
      <c r="P1092" s="116">
        <f>SUM(M1092:O1092)</f>
        <v>0</v>
      </c>
      <c r="Q1092" s="106"/>
    </row>
    <row r="1093" spans="1:17" ht="12.75" customHeight="1">
      <c r="A1093" s="113" t="s">
        <v>18</v>
      </c>
      <c r="B1093" s="114">
        <v>8372</v>
      </c>
      <c r="C1093" s="114"/>
      <c r="D1093" s="114">
        <f>+B1093+C1093</f>
        <v>8372</v>
      </c>
      <c r="E1093" s="114">
        <v>8803</v>
      </c>
      <c r="F1093" s="114"/>
      <c r="G1093" s="114"/>
      <c r="H1093" s="114">
        <f>SUM(E1093:G1093)</f>
        <v>8803</v>
      </c>
      <c r="I1093" s="43">
        <v>8803</v>
      </c>
      <c r="J1093" s="43"/>
      <c r="K1093" s="43"/>
      <c r="L1093" s="78">
        <f>SUM(I1093:K1093)</f>
        <v>8803</v>
      </c>
      <c r="M1093" s="114">
        <f t="shared" si="661"/>
        <v>0</v>
      </c>
      <c r="N1093" s="115">
        <f t="shared" si="661"/>
        <v>0</v>
      </c>
      <c r="O1093" s="114">
        <f t="shared" si="661"/>
        <v>0</v>
      </c>
      <c r="P1093" s="116">
        <f>SUM(M1093:O1093)</f>
        <v>0</v>
      </c>
      <c r="Q1093" s="106"/>
    </row>
    <row r="1094" spans="1:17" ht="12.75" customHeight="1">
      <c r="A1094" s="113" t="s">
        <v>19</v>
      </c>
      <c r="B1094" s="102">
        <f>SUM(B1095:B1096)</f>
        <v>0</v>
      </c>
      <c r="C1094" s="102">
        <f>SUM(C1095:C1096)</f>
        <v>0</v>
      </c>
      <c r="D1094" s="102">
        <f>SUM(D1095:D1096)</f>
        <v>0</v>
      </c>
      <c r="E1094" s="102">
        <f t="shared" ref="E1094:P1094" si="662">SUM(E1095:E1096)</f>
        <v>0</v>
      </c>
      <c r="F1094" s="102">
        <f t="shared" si="662"/>
        <v>0</v>
      </c>
      <c r="G1094" s="102">
        <f t="shared" si="662"/>
        <v>0</v>
      </c>
      <c r="H1094" s="102">
        <f t="shared" si="662"/>
        <v>0</v>
      </c>
      <c r="I1094" s="45">
        <f>SUM(I1095:I1096)</f>
        <v>0</v>
      </c>
      <c r="J1094" s="45">
        <f>SUM(J1095:J1096)</f>
        <v>0</v>
      </c>
      <c r="K1094" s="45">
        <f>SUM(K1095:K1096)</f>
        <v>0</v>
      </c>
      <c r="L1094" s="103">
        <f>SUM(L1095:L1096)</f>
        <v>0</v>
      </c>
      <c r="M1094" s="102">
        <f t="shared" si="662"/>
        <v>0</v>
      </c>
      <c r="N1094" s="104">
        <f t="shared" si="662"/>
        <v>0</v>
      </c>
      <c r="O1094" s="102">
        <f t="shared" si="662"/>
        <v>0</v>
      </c>
      <c r="P1094" s="105">
        <f t="shared" si="662"/>
        <v>0</v>
      </c>
      <c r="Q1094" s="106"/>
    </row>
    <row r="1095" spans="1:17" ht="12.75" customHeight="1">
      <c r="A1095" s="113" t="s">
        <v>20</v>
      </c>
      <c r="B1095" s="114"/>
      <c r="C1095" s="114">
        <f>+H1095</f>
        <v>0</v>
      </c>
      <c r="D1095" s="114">
        <f>+B1095+C1095</f>
        <v>0</v>
      </c>
      <c r="E1095" s="114"/>
      <c r="F1095" s="114"/>
      <c r="G1095" s="114"/>
      <c r="H1095" s="114">
        <f>SUM(E1095:G1095)</f>
        <v>0</v>
      </c>
      <c r="I1095" s="43"/>
      <c r="J1095" s="43"/>
      <c r="K1095" s="43"/>
      <c r="L1095" s="78">
        <f>SUM(I1095:K1095)</f>
        <v>0</v>
      </c>
      <c r="M1095" s="114">
        <f t="shared" ref="M1095:O1096" si="663">+E1095-I1095</f>
        <v>0</v>
      </c>
      <c r="N1095" s="115">
        <f t="shared" si="663"/>
        <v>0</v>
      </c>
      <c r="O1095" s="114">
        <f t="shared" si="663"/>
        <v>0</v>
      </c>
      <c r="P1095" s="116">
        <f>SUM(M1095:O1095)</f>
        <v>0</v>
      </c>
      <c r="Q1095" s="106"/>
    </row>
    <row r="1096" spans="1:17" ht="12.75" customHeight="1">
      <c r="A1096" s="113" t="s">
        <v>21</v>
      </c>
      <c r="B1096" s="114"/>
      <c r="C1096" s="114"/>
      <c r="D1096" s="114">
        <f>+B1096+C1096</f>
        <v>0</v>
      </c>
      <c r="E1096" s="114"/>
      <c r="F1096" s="114"/>
      <c r="G1096" s="114"/>
      <c r="H1096" s="114">
        <f>SUM(E1096:G1096)</f>
        <v>0</v>
      </c>
      <c r="I1096" s="43"/>
      <c r="J1096" s="43"/>
      <c r="K1096" s="43"/>
      <c r="L1096" s="78">
        <f>SUM(I1096:K1096)</f>
        <v>0</v>
      </c>
      <c r="M1096" s="114">
        <f t="shared" si="663"/>
        <v>0</v>
      </c>
      <c r="N1096" s="115">
        <f t="shared" si="663"/>
        <v>0</v>
      </c>
      <c r="O1096" s="114">
        <f t="shared" si="663"/>
        <v>0</v>
      </c>
      <c r="P1096" s="116">
        <f>SUM(M1096:O1096)</f>
        <v>0</v>
      </c>
      <c r="Q1096" s="106"/>
    </row>
    <row r="1097" spans="1:17" ht="12.75" customHeight="1">
      <c r="A1097" s="121"/>
      <c r="B1097" s="122"/>
      <c r="C1097" s="122"/>
      <c r="D1097" s="122"/>
      <c r="E1097" s="114"/>
      <c r="F1097" s="114"/>
      <c r="G1097" s="114"/>
      <c r="H1097" s="114"/>
      <c r="I1097" s="43"/>
      <c r="J1097" s="43"/>
      <c r="K1097" s="43"/>
      <c r="L1097" s="78"/>
      <c r="M1097" s="114"/>
      <c r="N1097" s="115"/>
      <c r="O1097" s="114"/>
      <c r="P1097" s="116"/>
      <c r="Q1097" s="106"/>
    </row>
    <row r="1098" spans="1:17" ht="12.75" customHeight="1">
      <c r="A1098" s="120" t="s">
        <v>342</v>
      </c>
      <c r="B1098" s="102">
        <f>+B1099+B1103</f>
        <v>396788</v>
      </c>
      <c r="C1098" s="102">
        <f>+C1099+C1103</f>
        <v>31411</v>
      </c>
      <c r="D1098" s="102">
        <f>+D1099+D1103</f>
        <v>428199</v>
      </c>
      <c r="E1098" s="102">
        <f t="shared" ref="E1098:P1098" si="664">+E1099+E1103</f>
        <v>324612</v>
      </c>
      <c r="F1098" s="102">
        <f t="shared" si="664"/>
        <v>103587</v>
      </c>
      <c r="G1098" s="102">
        <f t="shared" si="664"/>
        <v>38885</v>
      </c>
      <c r="H1098" s="102">
        <f t="shared" si="664"/>
        <v>467084</v>
      </c>
      <c r="I1098" s="45">
        <f t="shared" si="664"/>
        <v>324612</v>
      </c>
      <c r="J1098" s="45">
        <f t="shared" si="664"/>
        <v>103587</v>
      </c>
      <c r="K1098" s="45">
        <f t="shared" si="664"/>
        <v>38885</v>
      </c>
      <c r="L1098" s="103">
        <f t="shared" si="664"/>
        <v>467084</v>
      </c>
      <c r="M1098" s="102">
        <f t="shared" si="664"/>
        <v>0</v>
      </c>
      <c r="N1098" s="104">
        <f t="shared" si="664"/>
        <v>0</v>
      </c>
      <c r="O1098" s="102">
        <f t="shared" si="664"/>
        <v>0</v>
      </c>
      <c r="P1098" s="105">
        <f t="shared" si="664"/>
        <v>0</v>
      </c>
      <c r="Q1098" s="106">
        <f>+L1098/H1098</f>
        <v>1</v>
      </c>
    </row>
    <row r="1099" spans="1:17" ht="12.75" customHeight="1">
      <c r="A1099" s="127" t="s">
        <v>15</v>
      </c>
      <c r="B1099" s="108">
        <f>SUM(B1100:B1102)</f>
        <v>396788</v>
      </c>
      <c r="C1099" s="108">
        <f>SUM(C1100:C1102)</f>
        <v>31411</v>
      </c>
      <c r="D1099" s="108">
        <f>SUM(D1100:D1102)</f>
        <v>428199</v>
      </c>
      <c r="E1099" s="108">
        <f t="shared" ref="E1099:P1099" si="665">SUM(E1100:E1102)</f>
        <v>324612</v>
      </c>
      <c r="F1099" s="108">
        <f t="shared" si="665"/>
        <v>103587</v>
      </c>
      <c r="G1099" s="108">
        <f t="shared" si="665"/>
        <v>38885</v>
      </c>
      <c r="H1099" s="108">
        <f t="shared" si="665"/>
        <v>467084</v>
      </c>
      <c r="I1099" s="109">
        <f>SUM(I1100:I1102)</f>
        <v>324612</v>
      </c>
      <c r="J1099" s="109">
        <f>SUM(J1100:J1102)</f>
        <v>103587</v>
      </c>
      <c r="K1099" s="109">
        <f>SUM(K1100:K1102)</f>
        <v>38885</v>
      </c>
      <c r="L1099" s="110">
        <f>SUM(L1100:L1102)</f>
        <v>467084</v>
      </c>
      <c r="M1099" s="108">
        <f t="shared" si="665"/>
        <v>0</v>
      </c>
      <c r="N1099" s="111">
        <f t="shared" si="665"/>
        <v>0</v>
      </c>
      <c r="O1099" s="108">
        <f t="shared" si="665"/>
        <v>0</v>
      </c>
      <c r="P1099" s="112">
        <f t="shared" si="665"/>
        <v>0</v>
      </c>
      <c r="Q1099" s="106"/>
    </row>
    <row r="1100" spans="1:17" ht="12.75" customHeight="1">
      <c r="A1100" s="113" t="s">
        <v>16</v>
      </c>
      <c r="B1100" s="114">
        <v>371111</v>
      </c>
      <c r="C1100" s="114"/>
      <c r="D1100" s="114">
        <f>+B1100+C1100</f>
        <v>371111</v>
      </c>
      <c r="E1100" s="114">
        <v>267524</v>
      </c>
      <c r="F1100" s="114">
        <v>103587</v>
      </c>
      <c r="G1100" s="114">
        <v>38885</v>
      </c>
      <c r="H1100" s="114">
        <f>SUM(E1100:G1100)</f>
        <v>409996</v>
      </c>
      <c r="I1100" s="43">
        <v>267524</v>
      </c>
      <c r="J1100" s="43">
        <v>103587</v>
      </c>
      <c r="K1100" s="43">
        <v>38885</v>
      </c>
      <c r="L1100" s="78">
        <f>SUM(I1100:K1100)</f>
        <v>409996</v>
      </c>
      <c r="M1100" s="114">
        <f t="shared" ref="M1100:O1102" si="666">+E1100-I1100</f>
        <v>0</v>
      </c>
      <c r="N1100" s="115">
        <f t="shared" si="666"/>
        <v>0</v>
      </c>
      <c r="O1100" s="114">
        <f t="shared" si="666"/>
        <v>0</v>
      </c>
      <c r="P1100" s="116">
        <f>SUM(M1100:O1100)</f>
        <v>0</v>
      </c>
      <c r="Q1100" s="106"/>
    </row>
    <row r="1101" spans="1:17" ht="12.75" customHeight="1">
      <c r="A1101" s="113" t="s">
        <v>17</v>
      </c>
      <c r="B1101" s="114"/>
      <c r="C1101" s="114">
        <f>+H1101</f>
        <v>31411</v>
      </c>
      <c r="D1101" s="114">
        <f>+B1101+C1101</f>
        <v>31411</v>
      </c>
      <c r="E1101" s="114">
        <v>31411</v>
      </c>
      <c r="F1101" s="114"/>
      <c r="G1101" s="114"/>
      <c r="H1101" s="114">
        <f>SUM(E1101:G1101)</f>
        <v>31411</v>
      </c>
      <c r="I1101" s="43">
        <f>8701+22710</f>
        <v>31411</v>
      </c>
      <c r="J1101" s="43"/>
      <c r="K1101" s="43"/>
      <c r="L1101" s="78">
        <f>SUM(I1101:K1101)</f>
        <v>31411</v>
      </c>
      <c r="M1101" s="114">
        <f t="shared" si="666"/>
        <v>0</v>
      </c>
      <c r="N1101" s="115">
        <f t="shared" si="666"/>
        <v>0</v>
      </c>
      <c r="O1101" s="114">
        <f t="shared" si="666"/>
        <v>0</v>
      </c>
      <c r="P1101" s="116">
        <f>SUM(M1101:O1101)</f>
        <v>0</v>
      </c>
      <c r="Q1101" s="106"/>
    </row>
    <row r="1102" spans="1:17" ht="12.75" customHeight="1">
      <c r="A1102" s="113" t="s">
        <v>18</v>
      </c>
      <c r="B1102" s="114">
        <v>25677</v>
      </c>
      <c r="C1102" s="114"/>
      <c r="D1102" s="114">
        <f>+B1102+C1102</f>
        <v>25677</v>
      </c>
      <c r="E1102" s="114">
        <v>25677</v>
      </c>
      <c r="F1102" s="114"/>
      <c r="G1102" s="114"/>
      <c r="H1102" s="114">
        <f>SUM(E1102:G1102)</f>
        <v>25677</v>
      </c>
      <c r="I1102" s="43">
        <v>25677</v>
      </c>
      <c r="J1102" s="43"/>
      <c r="K1102" s="43"/>
      <c r="L1102" s="78">
        <f>SUM(I1102:K1102)</f>
        <v>25677</v>
      </c>
      <c r="M1102" s="114">
        <f t="shared" si="666"/>
        <v>0</v>
      </c>
      <c r="N1102" s="115">
        <f t="shared" si="666"/>
        <v>0</v>
      </c>
      <c r="O1102" s="114">
        <f t="shared" si="666"/>
        <v>0</v>
      </c>
      <c r="P1102" s="116">
        <f>SUM(M1102:O1102)</f>
        <v>0</v>
      </c>
      <c r="Q1102" s="106"/>
    </row>
    <row r="1103" spans="1:17" ht="12.75" customHeight="1">
      <c r="A1103" s="113" t="s">
        <v>19</v>
      </c>
      <c r="B1103" s="102">
        <f>SUM(B1104:B1105)</f>
        <v>0</v>
      </c>
      <c r="C1103" s="102">
        <f>SUM(C1104:C1105)</f>
        <v>0</v>
      </c>
      <c r="D1103" s="102">
        <f>SUM(D1104:D1105)</f>
        <v>0</v>
      </c>
      <c r="E1103" s="102">
        <f t="shared" ref="E1103:P1103" si="667">SUM(E1104:E1105)</f>
        <v>0</v>
      </c>
      <c r="F1103" s="102">
        <f t="shared" si="667"/>
        <v>0</v>
      </c>
      <c r="G1103" s="102">
        <f t="shared" si="667"/>
        <v>0</v>
      </c>
      <c r="H1103" s="102">
        <f t="shared" si="667"/>
        <v>0</v>
      </c>
      <c r="I1103" s="45">
        <f>SUM(I1104:I1105)</f>
        <v>0</v>
      </c>
      <c r="J1103" s="45">
        <f>SUM(J1104:J1105)</f>
        <v>0</v>
      </c>
      <c r="K1103" s="45">
        <f>SUM(K1104:K1105)</f>
        <v>0</v>
      </c>
      <c r="L1103" s="103">
        <f>SUM(L1104:L1105)</f>
        <v>0</v>
      </c>
      <c r="M1103" s="102">
        <f t="shared" si="667"/>
        <v>0</v>
      </c>
      <c r="N1103" s="104">
        <f t="shared" si="667"/>
        <v>0</v>
      </c>
      <c r="O1103" s="102">
        <f t="shared" si="667"/>
        <v>0</v>
      </c>
      <c r="P1103" s="105">
        <f t="shared" si="667"/>
        <v>0</v>
      </c>
      <c r="Q1103" s="106"/>
    </row>
    <row r="1104" spans="1:17" ht="12.75" customHeight="1">
      <c r="A1104" s="113" t="s">
        <v>20</v>
      </c>
      <c r="B1104" s="114"/>
      <c r="C1104" s="114">
        <f>+H1104</f>
        <v>0</v>
      </c>
      <c r="D1104" s="114">
        <f>+B1104+C1104</f>
        <v>0</v>
      </c>
      <c r="E1104" s="114"/>
      <c r="F1104" s="114"/>
      <c r="G1104" s="114"/>
      <c r="H1104" s="114">
        <f>SUM(E1104:G1104)</f>
        <v>0</v>
      </c>
      <c r="I1104" s="43"/>
      <c r="J1104" s="43"/>
      <c r="K1104" s="43"/>
      <c r="L1104" s="78">
        <f>SUM(I1104:K1104)</f>
        <v>0</v>
      </c>
      <c r="M1104" s="114">
        <f t="shared" ref="M1104:O1105" si="668">+E1104-I1104</f>
        <v>0</v>
      </c>
      <c r="N1104" s="115">
        <f t="shared" si="668"/>
        <v>0</v>
      </c>
      <c r="O1104" s="114">
        <f t="shared" si="668"/>
        <v>0</v>
      </c>
      <c r="P1104" s="116">
        <f>SUM(M1104:O1104)</f>
        <v>0</v>
      </c>
      <c r="Q1104" s="106"/>
    </row>
    <row r="1105" spans="1:29" ht="12.75" customHeight="1">
      <c r="A1105" s="113" t="s">
        <v>21</v>
      </c>
      <c r="B1105" s="114"/>
      <c r="C1105" s="114">
        <f>+H1105</f>
        <v>0</v>
      </c>
      <c r="D1105" s="114">
        <f>+B1105+C1105</f>
        <v>0</v>
      </c>
      <c r="E1105" s="114"/>
      <c r="F1105" s="114"/>
      <c r="G1105" s="114"/>
      <c r="H1105" s="114">
        <f>SUM(E1105:G1105)</f>
        <v>0</v>
      </c>
      <c r="I1105" s="43"/>
      <c r="J1105" s="43"/>
      <c r="K1105" s="43"/>
      <c r="L1105" s="78">
        <f>SUM(I1105:K1105)</f>
        <v>0</v>
      </c>
      <c r="M1105" s="114">
        <f t="shared" si="668"/>
        <v>0</v>
      </c>
      <c r="N1105" s="115">
        <f t="shared" si="668"/>
        <v>0</v>
      </c>
      <c r="O1105" s="114">
        <f t="shared" si="668"/>
        <v>0</v>
      </c>
      <c r="P1105" s="116">
        <f>SUM(M1105:O1105)</f>
        <v>0</v>
      </c>
      <c r="Q1105" s="106"/>
    </row>
    <row r="1106" spans="1:29" ht="12.75" customHeight="1">
      <c r="A1106" s="229"/>
      <c r="B1106" s="230"/>
      <c r="C1106" s="230"/>
      <c r="D1106" s="230"/>
      <c r="E1106" s="102"/>
      <c r="F1106" s="102"/>
      <c r="G1106" s="102"/>
      <c r="H1106" s="102"/>
      <c r="I1106" s="74"/>
      <c r="J1106" s="74"/>
      <c r="K1106" s="74"/>
      <c r="L1106" s="138"/>
      <c r="M1106" s="102"/>
      <c r="N1106" s="104"/>
      <c r="O1106" s="102"/>
      <c r="P1106" s="105"/>
      <c r="Q1106" s="227"/>
    </row>
    <row r="1107" spans="1:29" ht="12.75" customHeight="1">
      <c r="A1107" s="120" t="s">
        <v>343</v>
      </c>
      <c r="B1107" s="102">
        <f>+B1108+B1112</f>
        <v>25816</v>
      </c>
      <c r="C1107" s="102">
        <f>+C1108+C1112</f>
        <v>0</v>
      </c>
      <c r="D1107" s="102">
        <f>+D1108+D1112</f>
        <v>25816</v>
      </c>
      <c r="E1107" s="102">
        <f t="shared" ref="E1107:P1107" si="669">+E1108+E1112</f>
        <v>15243</v>
      </c>
      <c r="F1107" s="102">
        <f t="shared" si="669"/>
        <v>10778</v>
      </c>
      <c r="G1107" s="102">
        <f t="shared" si="669"/>
        <v>0</v>
      </c>
      <c r="H1107" s="102">
        <f t="shared" si="669"/>
        <v>26021</v>
      </c>
      <c r="I1107" s="45">
        <f t="shared" si="669"/>
        <v>10992</v>
      </c>
      <c r="J1107" s="45">
        <f t="shared" si="669"/>
        <v>2496</v>
      </c>
      <c r="K1107" s="45">
        <f t="shared" si="669"/>
        <v>0</v>
      </c>
      <c r="L1107" s="103">
        <f t="shared" si="669"/>
        <v>13488</v>
      </c>
      <c r="M1107" s="102">
        <f t="shared" si="669"/>
        <v>4251</v>
      </c>
      <c r="N1107" s="104">
        <f t="shared" si="669"/>
        <v>8282</v>
      </c>
      <c r="O1107" s="102">
        <f t="shared" si="669"/>
        <v>0</v>
      </c>
      <c r="P1107" s="105">
        <f t="shared" si="669"/>
        <v>12533</v>
      </c>
      <c r="Q1107" s="106">
        <f>+L1107/H1107</f>
        <v>0.51835056300680216</v>
      </c>
    </row>
    <row r="1108" spans="1:29" ht="12.75" customHeight="1">
      <c r="A1108" s="127" t="s">
        <v>15</v>
      </c>
      <c r="B1108" s="108">
        <f>SUM(B1109:B1111)</f>
        <v>25816</v>
      </c>
      <c r="C1108" s="108">
        <f>SUM(C1109:C1111)</f>
        <v>0</v>
      </c>
      <c r="D1108" s="108">
        <f>SUM(D1109:D1111)</f>
        <v>25816</v>
      </c>
      <c r="E1108" s="108">
        <f t="shared" ref="E1108:P1108" si="670">SUM(E1109:E1111)</f>
        <v>15243</v>
      </c>
      <c r="F1108" s="108">
        <f t="shared" si="670"/>
        <v>10778</v>
      </c>
      <c r="G1108" s="108">
        <f t="shared" si="670"/>
        <v>0</v>
      </c>
      <c r="H1108" s="108">
        <f t="shared" si="670"/>
        <v>26021</v>
      </c>
      <c r="I1108" s="109">
        <f>SUM(I1109:I1111)</f>
        <v>10992</v>
      </c>
      <c r="J1108" s="109">
        <f>SUM(J1109:J1111)</f>
        <v>2496</v>
      </c>
      <c r="K1108" s="109">
        <f>SUM(K1109:K1111)</f>
        <v>0</v>
      </c>
      <c r="L1108" s="110">
        <f>SUM(L1109:L1111)</f>
        <v>13488</v>
      </c>
      <c r="M1108" s="108">
        <f t="shared" si="670"/>
        <v>4251</v>
      </c>
      <c r="N1108" s="111">
        <f t="shared" si="670"/>
        <v>8282</v>
      </c>
      <c r="O1108" s="108">
        <f t="shared" si="670"/>
        <v>0</v>
      </c>
      <c r="P1108" s="112">
        <f t="shared" si="670"/>
        <v>12533</v>
      </c>
      <c r="Q1108" s="106"/>
    </row>
    <row r="1109" spans="1:29" ht="12.75" customHeight="1">
      <c r="A1109" s="113" t="s">
        <v>16</v>
      </c>
      <c r="B1109" s="114">
        <v>24522</v>
      </c>
      <c r="C1109" s="114"/>
      <c r="D1109" s="114">
        <f>+B1109+C1109</f>
        <v>24522</v>
      </c>
      <c r="E1109" s="114">
        <v>13744</v>
      </c>
      <c r="F1109" s="114">
        <v>10778</v>
      </c>
      <c r="G1109" s="114"/>
      <c r="H1109" s="114">
        <f>SUM(E1109:G1109)</f>
        <v>24522</v>
      </c>
      <c r="I1109" s="43">
        <v>10021</v>
      </c>
      <c r="J1109" s="43">
        <v>2496</v>
      </c>
      <c r="K1109" s="43"/>
      <c r="L1109" s="78">
        <f>SUM(I1109:K1109)</f>
        <v>12517</v>
      </c>
      <c r="M1109" s="114">
        <f t="shared" ref="M1109:O1111" si="671">+E1109-I1109</f>
        <v>3723</v>
      </c>
      <c r="N1109" s="115">
        <f t="shared" si="671"/>
        <v>8282</v>
      </c>
      <c r="O1109" s="114">
        <f t="shared" si="671"/>
        <v>0</v>
      </c>
      <c r="P1109" s="116">
        <f>SUM(M1109:O1109)</f>
        <v>12005</v>
      </c>
      <c r="Q1109" s="106"/>
    </row>
    <row r="1110" spans="1:29" ht="12.75" customHeight="1">
      <c r="A1110" s="113" t="s">
        <v>17</v>
      </c>
      <c r="B1110" s="114"/>
      <c r="C1110" s="114"/>
      <c r="D1110" s="114">
        <f>+B1110+C1110</f>
        <v>0</v>
      </c>
      <c r="E1110" s="114">
        <v>205</v>
      </c>
      <c r="F1110" s="114"/>
      <c r="G1110" s="114"/>
      <c r="H1110" s="114">
        <f>SUM(E1110:G1110)</f>
        <v>205</v>
      </c>
      <c r="I1110" s="43"/>
      <c r="J1110" s="43"/>
      <c r="K1110" s="43"/>
      <c r="L1110" s="78">
        <f>SUM(I1110:K1110)</f>
        <v>0</v>
      </c>
      <c r="M1110" s="114">
        <f t="shared" si="671"/>
        <v>205</v>
      </c>
      <c r="N1110" s="115">
        <f t="shared" si="671"/>
        <v>0</v>
      </c>
      <c r="O1110" s="114">
        <f t="shared" si="671"/>
        <v>0</v>
      </c>
      <c r="P1110" s="116">
        <f>SUM(M1110:O1110)</f>
        <v>205</v>
      </c>
      <c r="Q1110" s="106"/>
    </row>
    <row r="1111" spans="1:29" ht="12.75" customHeight="1">
      <c r="A1111" s="113" t="s">
        <v>18</v>
      </c>
      <c r="B1111" s="114">
        <v>1294</v>
      </c>
      <c r="C1111" s="114"/>
      <c r="D1111" s="114">
        <f>+B1111+C1111</f>
        <v>1294</v>
      </c>
      <c r="E1111" s="114">
        <v>1294</v>
      </c>
      <c r="F1111" s="114"/>
      <c r="G1111" s="114"/>
      <c r="H1111" s="114">
        <f>SUM(E1111:G1111)</f>
        <v>1294</v>
      </c>
      <c r="I1111" s="43">
        <v>971</v>
      </c>
      <c r="J1111" s="43"/>
      <c r="K1111" s="43"/>
      <c r="L1111" s="78">
        <f>SUM(I1111:K1111)</f>
        <v>971</v>
      </c>
      <c r="M1111" s="114">
        <f t="shared" si="671"/>
        <v>323</v>
      </c>
      <c r="N1111" s="115">
        <f t="shared" si="671"/>
        <v>0</v>
      </c>
      <c r="O1111" s="114">
        <f t="shared" si="671"/>
        <v>0</v>
      </c>
      <c r="P1111" s="116">
        <f>SUM(M1111:O1111)</f>
        <v>323</v>
      </c>
      <c r="Q1111" s="106"/>
    </row>
    <row r="1112" spans="1:29" ht="12.75" customHeight="1">
      <c r="A1112" s="113" t="s">
        <v>19</v>
      </c>
      <c r="B1112" s="102">
        <f>SUM(B1113:B1114)</f>
        <v>0</v>
      </c>
      <c r="C1112" s="102">
        <f>SUM(C1113:C1114)</f>
        <v>0</v>
      </c>
      <c r="D1112" s="102">
        <f>SUM(D1113:D1114)</f>
        <v>0</v>
      </c>
      <c r="E1112" s="102">
        <f t="shared" ref="E1112:P1112" si="672">SUM(E1113:E1114)</f>
        <v>0</v>
      </c>
      <c r="F1112" s="102">
        <f t="shared" si="672"/>
        <v>0</v>
      </c>
      <c r="G1112" s="102">
        <f t="shared" si="672"/>
        <v>0</v>
      </c>
      <c r="H1112" s="102">
        <f t="shared" si="672"/>
        <v>0</v>
      </c>
      <c r="I1112" s="45">
        <f>SUM(I1113:I1114)</f>
        <v>0</v>
      </c>
      <c r="J1112" s="45">
        <f>SUM(J1113:J1114)</f>
        <v>0</v>
      </c>
      <c r="K1112" s="45">
        <f>SUM(K1113:K1114)</f>
        <v>0</v>
      </c>
      <c r="L1112" s="103">
        <f>SUM(L1113:L1114)</f>
        <v>0</v>
      </c>
      <c r="M1112" s="102">
        <f t="shared" si="672"/>
        <v>0</v>
      </c>
      <c r="N1112" s="104">
        <f t="shared" si="672"/>
        <v>0</v>
      </c>
      <c r="O1112" s="102">
        <f t="shared" si="672"/>
        <v>0</v>
      </c>
      <c r="P1112" s="105">
        <f t="shared" si="672"/>
        <v>0</v>
      </c>
      <c r="Q1112" s="106"/>
      <c r="X1112" s="159" t="s">
        <v>367</v>
      </c>
    </row>
    <row r="1113" spans="1:29" ht="12.75" customHeight="1">
      <c r="A1113" s="113" t="s">
        <v>20</v>
      </c>
      <c r="B1113" s="114"/>
      <c r="C1113" s="114">
        <f>+H1113</f>
        <v>0</v>
      </c>
      <c r="D1113" s="114">
        <f>+B1113+C1113</f>
        <v>0</v>
      </c>
      <c r="E1113" s="114"/>
      <c r="F1113" s="114"/>
      <c r="G1113" s="114"/>
      <c r="H1113" s="114">
        <f>SUM(E1113:G1113)</f>
        <v>0</v>
      </c>
      <c r="I1113" s="43"/>
      <c r="J1113" s="43"/>
      <c r="K1113" s="43"/>
      <c r="L1113" s="78">
        <f>SUM(I1113:K1113)</f>
        <v>0</v>
      </c>
      <c r="M1113" s="114">
        <f t="shared" ref="M1113:O1114" si="673">+E1113-I1113</f>
        <v>0</v>
      </c>
      <c r="N1113" s="115">
        <f t="shared" si="673"/>
        <v>0</v>
      </c>
      <c r="O1113" s="114">
        <f t="shared" si="673"/>
        <v>0</v>
      </c>
      <c r="P1113" s="116">
        <f>SUM(M1113:O1113)</f>
        <v>0</v>
      </c>
      <c r="Q1113" s="106"/>
      <c r="X1113" s="160"/>
      <c r="Y1113" s="161" t="s">
        <v>9</v>
      </c>
      <c r="Z1113" s="161" t="s">
        <v>10</v>
      </c>
      <c r="AA1113" s="161" t="s">
        <v>12</v>
      </c>
      <c r="AB1113" s="161" t="s">
        <v>221</v>
      </c>
    </row>
    <row r="1114" spans="1:29" ht="12.75" customHeight="1">
      <c r="A1114" s="113" t="s">
        <v>21</v>
      </c>
      <c r="B1114" s="114"/>
      <c r="C1114" s="114">
        <f>+H1114</f>
        <v>0</v>
      </c>
      <c r="D1114" s="114">
        <f>+B1114+C1114</f>
        <v>0</v>
      </c>
      <c r="E1114" s="114"/>
      <c r="F1114" s="114"/>
      <c r="G1114" s="114"/>
      <c r="H1114" s="114">
        <f>SUM(E1114:G1114)</f>
        <v>0</v>
      </c>
      <c r="I1114" s="43"/>
      <c r="J1114" s="43"/>
      <c r="K1114" s="43"/>
      <c r="L1114" s="78">
        <f>SUM(I1114:K1114)</f>
        <v>0</v>
      </c>
      <c r="M1114" s="114">
        <f t="shared" si="673"/>
        <v>0</v>
      </c>
      <c r="N1114" s="115">
        <f t="shared" si="673"/>
        <v>0</v>
      </c>
      <c r="O1114" s="114">
        <f t="shared" si="673"/>
        <v>0</v>
      </c>
      <c r="P1114" s="116">
        <f>SUM(M1114:O1114)</f>
        <v>0</v>
      </c>
      <c r="Q1114" s="106"/>
      <c r="S1114" s="162" t="s">
        <v>9</v>
      </c>
      <c r="T1114" s="162" t="s">
        <v>10</v>
      </c>
      <c r="U1114" s="162" t="s">
        <v>12</v>
      </c>
      <c r="V1114" s="162" t="s">
        <v>221</v>
      </c>
      <c r="X1114" s="163" t="s">
        <v>368</v>
      </c>
      <c r="Y1114" s="164">
        <f>+Y1115+Y1119</f>
        <v>587103</v>
      </c>
      <c r="Z1114" s="164">
        <f>+Z1115+Z1119</f>
        <v>47852</v>
      </c>
      <c r="AA1114" s="164">
        <f>+AA1115+AA1119</f>
        <v>2498</v>
      </c>
      <c r="AB1114" s="164">
        <f>+AB1115+AB1119</f>
        <v>637453</v>
      </c>
      <c r="AC1114" s="159" t="b">
        <f>+AB1114=V1115</f>
        <v>1</v>
      </c>
    </row>
    <row r="1115" spans="1:29" ht="12.75" customHeight="1">
      <c r="A1115" s="121"/>
      <c r="B1115" s="122"/>
      <c r="C1115" s="122"/>
      <c r="D1115" s="122"/>
      <c r="E1115" s="114"/>
      <c r="F1115" s="114"/>
      <c r="G1115" s="114"/>
      <c r="H1115" s="114"/>
      <c r="I1115" s="63"/>
      <c r="J1115" s="63"/>
      <c r="K1115" s="63"/>
      <c r="L1115" s="79"/>
      <c r="M1115" s="114"/>
      <c r="N1115" s="115"/>
      <c r="O1115" s="114"/>
      <c r="P1115" s="116"/>
      <c r="Q1115" s="106"/>
      <c r="R1115" s="159" t="s">
        <v>369</v>
      </c>
      <c r="S1115" s="165">
        <f>SUM(S1116:S1120)</f>
        <v>587103</v>
      </c>
      <c r="T1115" s="166">
        <f>SUM(T1116:T1120)</f>
        <v>47852</v>
      </c>
      <c r="U1115" s="166">
        <f>SUM(U1116:U1120)</f>
        <v>2498</v>
      </c>
      <c r="V1115" s="166">
        <f>SUM(V1116:V1120)</f>
        <v>637453</v>
      </c>
      <c r="W1115" s="167"/>
      <c r="X1115" s="168" t="s">
        <v>15</v>
      </c>
      <c r="Y1115" s="169">
        <f>+Y1116+Y1117+Y1118</f>
        <v>587103</v>
      </c>
      <c r="Z1115" s="169">
        <f>Z1116+Z1117+Z1118</f>
        <v>47852</v>
      </c>
      <c r="AA1115" s="169">
        <f>AA1116+AA1117+AA1118</f>
        <v>2498</v>
      </c>
      <c r="AB1115" s="169">
        <f>AB1116+AB1117+AB1118</f>
        <v>637453</v>
      </c>
    </row>
    <row r="1116" spans="1:29" ht="12.75" customHeight="1">
      <c r="A1116" s="120" t="s">
        <v>344</v>
      </c>
      <c r="B1116" s="102">
        <f>+B1117+B1121</f>
        <v>2101964</v>
      </c>
      <c r="C1116" s="102">
        <f>+C1117+C1121</f>
        <v>198637</v>
      </c>
      <c r="D1116" s="102">
        <f>+D1117+D1121</f>
        <v>2300601</v>
      </c>
      <c r="E1116" s="102">
        <f t="shared" ref="E1116:P1116" si="674">+E1117+E1121</f>
        <v>2019089</v>
      </c>
      <c r="F1116" s="102">
        <f t="shared" si="674"/>
        <v>264811</v>
      </c>
      <c r="G1116" s="102">
        <f t="shared" si="674"/>
        <v>24269</v>
      </c>
      <c r="H1116" s="102">
        <f t="shared" si="674"/>
        <v>2308169</v>
      </c>
      <c r="I1116" s="45">
        <f>+I1117+I1121</f>
        <v>587103</v>
      </c>
      <c r="J1116" s="45">
        <f>+J1117+J1121</f>
        <v>47852</v>
      </c>
      <c r="K1116" s="45">
        <f>+K1117+K1121</f>
        <v>2498</v>
      </c>
      <c r="L1116" s="103">
        <f>+L1117+L1121</f>
        <v>637453</v>
      </c>
      <c r="M1116" s="139">
        <f>+M1117+M1121</f>
        <v>1431986</v>
      </c>
      <c r="N1116" s="238">
        <f t="shared" si="674"/>
        <v>216959</v>
      </c>
      <c r="O1116" s="139">
        <f t="shared" si="674"/>
        <v>21771</v>
      </c>
      <c r="P1116" s="140">
        <f t="shared" si="674"/>
        <v>1670716</v>
      </c>
      <c r="Q1116" s="106">
        <f>+L1116/H1116</f>
        <v>0.27617258528296673</v>
      </c>
      <c r="R1116" s="92" t="s">
        <v>370</v>
      </c>
      <c r="S1116" s="171">
        <f>+S1131</f>
        <v>224889</v>
      </c>
      <c r="T1116" s="172">
        <f>+T1131</f>
        <v>29815</v>
      </c>
      <c r="U1116" s="172">
        <f>+U1131</f>
        <v>0</v>
      </c>
      <c r="V1116" s="172">
        <f>+V1131</f>
        <v>254704</v>
      </c>
      <c r="W1116" s="167"/>
      <c r="X1116" s="173" t="s">
        <v>16</v>
      </c>
      <c r="Y1116" s="174">
        <f t="shared" ref="Y1116:AA1118" si="675">+S1124+S1133+S1142+S1151+S1160</f>
        <v>509765</v>
      </c>
      <c r="Z1116" s="174">
        <f t="shared" si="675"/>
        <v>47852</v>
      </c>
      <c r="AA1116" s="174">
        <f t="shared" si="675"/>
        <v>2498</v>
      </c>
      <c r="AB1116" s="174">
        <f>+AA1116+Z1116+Y1116</f>
        <v>560115</v>
      </c>
    </row>
    <row r="1117" spans="1:29" ht="12.75" customHeight="1">
      <c r="A1117" s="127" t="s">
        <v>15</v>
      </c>
      <c r="B1117" s="108">
        <f>SUM(B1118:B1120)</f>
        <v>2101964</v>
      </c>
      <c r="C1117" s="108">
        <f>SUM(C1118:C1120)</f>
        <v>181768</v>
      </c>
      <c r="D1117" s="108">
        <f>SUM(D1118:D1120)</f>
        <v>2283732</v>
      </c>
      <c r="E1117" s="108">
        <f t="shared" ref="E1117:P1117" si="676">SUM(E1118:E1120)</f>
        <v>2019089</v>
      </c>
      <c r="F1117" s="108">
        <f t="shared" si="676"/>
        <v>264811</v>
      </c>
      <c r="G1117" s="108">
        <f t="shared" si="676"/>
        <v>7400</v>
      </c>
      <c r="H1117" s="108">
        <f t="shared" si="676"/>
        <v>2291300</v>
      </c>
      <c r="I1117" s="109">
        <f>SUM(I1118:I1120)</f>
        <v>587103</v>
      </c>
      <c r="J1117" s="109">
        <f>SUM(J1118:J1120)</f>
        <v>47852</v>
      </c>
      <c r="K1117" s="109">
        <f>SUM(K1118:K1120)</f>
        <v>2498</v>
      </c>
      <c r="L1117" s="110">
        <f>SUM(L1118:L1120)</f>
        <v>637453</v>
      </c>
      <c r="M1117" s="141">
        <f t="shared" si="676"/>
        <v>1431986</v>
      </c>
      <c r="N1117" s="239">
        <f t="shared" si="676"/>
        <v>216959</v>
      </c>
      <c r="O1117" s="141">
        <f t="shared" si="676"/>
        <v>4902</v>
      </c>
      <c r="P1117" s="142">
        <f t="shared" si="676"/>
        <v>1653847</v>
      </c>
      <c r="Q1117" s="106"/>
      <c r="R1117" s="92" t="s">
        <v>371</v>
      </c>
      <c r="S1117" s="171">
        <f>+S1140</f>
        <v>142550</v>
      </c>
      <c r="T1117">
        <f>+T1140</f>
        <v>5046</v>
      </c>
      <c r="U1117">
        <f>+U1140</f>
        <v>0</v>
      </c>
      <c r="V1117">
        <f>+V1140</f>
        <v>147596</v>
      </c>
      <c r="W1117" s="167"/>
      <c r="X1117" s="173" t="s">
        <v>17</v>
      </c>
      <c r="Y1117" s="174">
        <f t="shared" si="675"/>
        <v>32478</v>
      </c>
      <c r="Z1117" s="174">
        <f t="shared" si="675"/>
        <v>0</v>
      </c>
      <c r="AA1117" s="174">
        <f t="shared" si="675"/>
        <v>0</v>
      </c>
      <c r="AB1117" s="174">
        <f>+AA1117+Z1117+Y1117</f>
        <v>32478</v>
      </c>
    </row>
    <row r="1118" spans="1:29" ht="12.75" customHeight="1">
      <c r="A1118" s="113" t="s">
        <v>16</v>
      </c>
      <c r="B1118" s="114">
        <v>1940327</v>
      </c>
      <c r="C1118" s="114"/>
      <c r="D1118" s="114">
        <f>+B1118+C1118</f>
        <v>1940327</v>
      </c>
      <c r="E1118" s="114">
        <v>1675516</v>
      </c>
      <c r="F1118" s="114">
        <v>264811</v>
      </c>
      <c r="G1118" s="114">
        <v>7400</v>
      </c>
      <c r="H1118" s="114">
        <f>SUM(E1118:G1118)</f>
        <v>1947727</v>
      </c>
      <c r="I1118" s="43">
        <f>S1124+S1133+S1142+S1151+S1160</f>
        <v>509765</v>
      </c>
      <c r="J1118" s="43">
        <f>T1124+T1133+T1142+T1151+T1160</f>
        <v>47852</v>
      </c>
      <c r="K1118" s="43">
        <f>U1124+U1133+U1142+U1151+U1160</f>
        <v>2498</v>
      </c>
      <c r="L1118" s="78">
        <f>SUM(I1118:K1118)</f>
        <v>560115</v>
      </c>
      <c r="M1118" s="143">
        <f>+E1118-I1118</f>
        <v>1165751</v>
      </c>
      <c r="N1118" s="236">
        <f t="shared" ref="M1118:O1120" si="677">+F1118-J1118</f>
        <v>216959</v>
      </c>
      <c r="O1118" s="143">
        <f t="shared" si="677"/>
        <v>4902</v>
      </c>
      <c r="P1118" s="144">
        <f>SUM(M1118:O1118)</f>
        <v>1387612</v>
      </c>
      <c r="Q1118" s="106"/>
      <c r="R1118" s="92" t="s">
        <v>372</v>
      </c>
      <c r="S1118" s="171">
        <f>+S1122</f>
        <v>0</v>
      </c>
      <c r="T1118" s="172">
        <f>+T1122</f>
        <v>0</v>
      </c>
      <c r="U1118" s="172">
        <f>+U1122</f>
        <v>0</v>
      </c>
      <c r="V1118" s="172">
        <f>+V1122</f>
        <v>0</v>
      </c>
      <c r="W1118" s="167"/>
      <c r="X1118" s="173" t="s">
        <v>18</v>
      </c>
      <c r="Y1118" s="174">
        <f t="shared" si="675"/>
        <v>44860</v>
      </c>
      <c r="Z1118" s="174">
        <f t="shared" si="675"/>
        <v>0</v>
      </c>
      <c r="AA1118" s="174">
        <f t="shared" si="675"/>
        <v>0</v>
      </c>
      <c r="AB1118" s="174">
        <f>+AA1118+Z1118+Y1118</f>
        <v>44860</v>
      </c>
    </row>
    <row r="1119" spans="1:29" ht="12.75" customHeight="1">
      <c r="A1119" s="113" t="s">
        <v>17</v>
      </c>
      <c r="B1119" s="114"/>
      <c r="C1119" s="114">
        <f>+H1119</f>
        <v>181768</v>
      </c>
      <c r="D1119" s="114">
        <f>+B1119+C1119</f>
        <v>181768</v>
      </c>
      <c r="E1119" s="114">
        <v>181768</v>
      </c>
      <c r="F1119" s="114"/>
      <c r="G1119" s="114"/>
      <c r="H1119" s="114">
        <f>SUM(E1119:G1119)</f>
        <v>181768</v>
      </c>
      <c r="I1119" s="43">
        <f>S1125+S1134+S1143+S1152+S1161</f>
        <v>32478</v>
      </c>
      <c r="J1119" s="43"/>
      <c r="K1119" s="43"/>
      <c r="L1119" s="78">
        <f>SUM(I1119:K1119)</f>
        <v>32478</v>
      </c>
      <c r="M1119" s="143">
        <f t="shared" si="677"/>
        <v>149290</v>
      </c>
      <c r="N1119" s="236">
        <f t="shared" si="677"/>
        <v>0</v>
      </c>
      <c r="O1119" s="143">
        <f t="shared" si="677"/>
        <v>0</v>
      </c>
      <c r="P1119" s="144">
        <f>SUM(M1119:O1119)</f>
        <v>149290</v>
      </c>
      <c r="Q1119" s="106"/>
      <c r="R1119" s="92" t="s">
        <v>373</v>
      </c>
      <c r="S1119" s="171">
        <f>+S1149</f>
        <v>91541</v>
      </c>
      <c r="T1119">
        <f>+T1149</f>
        <v>8256</v>
      </c>
      <c r="U1119">
        <f>+U1149</f>
        <v>2498</v>
      </c>
      <c r="V1119">
        <f>+V1149</f>
        <v>102295</v>
      </c>
      <c r="W1119" s="167"/>
      <c r="X1119" s="173" t="s">
        <v>19</v>
      </c>
      <c r="Y1119" s="169">
        <f>+Y1120+Y1121</f>
        <v>0</v>
      </c>
      <c r="Z1119" s="169">
        <f>+Z1120+Z1121</f>
        <v>0</v>
      </c>
      <c r="AA1119" s="169">
        <f>+AA1120+AA1121</f>
        <v>0</v>
      </c>
      <c r="AB1119" s="169">
        <f>+AA1119+Z1119+Y1119</f>
        <v>0</v>
      </c>
    </row>
    <row r="1120" spans="1:29" ht="12.75" customHeight="1">
      <c r="A1120" s="113" t="s">
        <v>18</v>
      </c>
      <c r="B1120" s="114">
        <v>161637</v>
      </c>
      <c r="C1120" s="114"/>
      <c r="D1120" s="114">
        <f>+B1120+C1120</f>
        <v>161637</v>
      </c>
      <c r="E1120" s="114">
        <v>161805</v>
      </c>
      <c r="F1120" s="114"/>
      <c r="G1120" s="114"/>
      <c r="H1120" s="114">
        <f>SUM(E1120:G1120)</f>
        <v>161805</v>
      </c>
      <c r="I1120" s="43">
        <f>S1126+S1135+S1144+S1153+S1162</f>
        <v>44860</v>
      </c>
      <c r="J1120" s="43"/>
      <c r="K1120" s="43"/>
      <c r="L1120" s="78">
        <f>SUM(I1120:K1120)</f>
        <v>44860</v>
      </c>
      <c r="M1120" s="143">
        <f t="shared" si="677"/>
        <v>116945</v>
      </c>
      <c r="N1120" s="236">
        <f t="shared" si="677"/>
        <v>0</v>
      </c>
      <c r="O1120" s="143">
        <f t="shared" si="677"/>
        <v>0</v>
      </c>
      <c r="P1120" s="144">
        <f>SUM(M1120:O1120)</f>
        <v>116945</v>
      </c>
      <c r="Q1120" s="106"/>
      <c r="R1120" s="92" t="s">
        <v>374</v>
      </c>
      <c r="S1120" s="171">
        <f>+S1158</f>
        <v>128123</v>
      </c>
      <c r="T1120" s="172">
        <f>+T1158</f>
        <v>4735</v>
      </c>
      <c r="U1120" s="172">
        <f>+U1158</f>
        <v>0</v>
      </c>
      <c r="V1120" s="172">
        <f>+V1158</f>
        <v>132858</v>
      </c>
      <c r="W1120" s="167"/>
      <c r="X1120" s="173" t="s">
        <v>20</v>
      </c>
      <c r="Y1120" s="174">
        <f t="shared" ref="Y1120:AA1121" si="678">+S1128+S1137+S1146+S1155+S1164</f>
        <v>0</v>
      </c>
      <c r="Z1120" s="174">
        <f t="shared" si="678"/>
        <v>0</v>
      </c>
      <c r="AA1120" s="174">
        <f t="shared" si="678"/>
        <v>0</v>
      </c>
      <c r="AB1120" s="174">
        <f>Y1120+Z1120+AA1120</f>
        <v>0</v>
      </c>
    </row>
    <row r="1121" spans="1:28" ht="12.75" customHeight="1">
      <c r="A1121" s="113" t="s">
        <v>19</v>
      </c>
      <c r="B1121" s="102">
        <f>SUM(B1122:B1123)</f>
        <v>0</v>
      </c>
      <c r="C1121" s="102">
        <f>SUM(C1122:C1123)</f>
        <v>16869</v>
      </c>
      <c r="D1121" s="102">
        <f>SUM(D1122:D1123)</f>
        <v>16869</v>
      </c>
      <c r="E1121" s="102">
        <f t="shared" ref="E1121:P1121" si="679">SUM(E1122:E1123)</f>
        <v>0</v>
      </c>
      <c r="F1121" s="102">
        <f t="shared" si="679"/>
        <v>0</v>
      </c>
      <c r="G1121" s="102">
        <f t="shared" si="679"/>
        <v>16869</v>
      </c>
      <c r="H1121" s="102">
        <f t="shared" si="679"/>
        <v>16869</v>
      </c>
      <c r="I1121" s="45">
        <f>SUM(I1122:I1123)</f>
        <v>0</v>
      </c>
      <c r="J1121" s="45">
        <f>SUM(J1122:J1123)</f>
        <v>0</v>
      </c>
      <c r="K1121" s="45">
        <f>SUM(K1122:K1123)</f>
        <v>0</v>
      </c>
      <c r="L1121" s="103">
        <f>SUM(L1122:L1123)</f>
        <v>0</v>
      </c>
      <c r="M1121" s="139">
        <f t="shared" si="679"/>
        <v>0</v>
      </c>
      <c r="N1121" s="238">
        <f t="shared" si="679"/>
        <v>0</v>
      </c>
      <c r="O1121" s="139">
        <f t="shared" si="679"/>
        <v>16869</v>
      </c>
      <c r="P1121" s="140">
        <f t="shared" si="679"/>
        <v>16869</v>
      </c>
      <c r="Q1121" s="106"/>
      <c r="U1121" s="175"/>
      <c r="W1121" s="176"/>
      <c r="X1121" s="173" t="s">
        <v>21</v>
      </c>
      <c r="Y1121" s="174">
        <f t="shared" si="678"/>
        <v>0</v>
      </c>
      <c r="Z1121" s="174">
        <f t="shared" si="678"/>
        <v>0</v>
      </c>
      <c r="AA1121" s="174">
        <f t="shared" si="678"/>
        <v>0</v>
      </c>
      <c r="AB1121" s="174">
        <f>Y1121+Z1121+AA1121</f>
        <v>0</v>
      </c>
    </row>
    <row r="1122" spans="1:28" ht="12.75" customHeight="1">
      <c r="A1122" s="113" t="s">
        <v>20</v>
      </c>
      <c r="B1122" s="114"/>
      <c r="C1122" s="114">
        <f>+H1122</f>
        <v>16869</v>
      </c>
      <c r="D1122" s="114">
        <f>+B1122+C1122</f>
        <v>16869</v>
      </c>
      <c r="E1122" s="114"/>
      <c r="F1122" s="114"/>
      <c r="G1122" s="114">
        <v>16869</v>
      </c>
      <c r="H1122" s="114">
        <f>SUM(E1122:G1122)</f>
        <v>16869</v>
      </c>
      <c r="I1122" s="43"/>
      <c r="J1122" s="43"/>
      <c r="K1122" s="43"/>
      <c r="L1122" s="78">
        <f>SUM(I1122:K1122)</f>
        <v>0</v>
      </c>
      <c r="M1122" s="143">
        <f t="shared" ref="M1122:O1123" si="680">+E1122-I1122</f>
        <v>0</v>
      </c>
      <c r="N1122" s="236">
        <f t="shared" si="680"/>
        <v>0</v>
      </c>
      <c r="O1122" s="143">
        <f t="shared" si="680"/>
        <v>16869</v>
      </c>
      <c r="P1122" s="144">
        <f>SUM(M1122:O1122)</f>
        <v>16869</v>
      </c>
      <c r="Q1122" s="106"/>
      <c r="R1122" s="159" t="s">
        <v>372</v>
      </c>
      <c r="S1122" s="177">
        <f>+S1123+S1127</f>
        <v>0</v>
      </c>
      <c r="T1122" s="177">
        <f>+T1123+T1127</f>
        <v>0</v>
      </c>
      <c r="U1122" s="177">
        <f>+U1123+U1127</f>
        <v>0</v>
      </c>
      <c r="V1122" s="177">
        <f>+V1123+V1127</f>
        <v>0</v>
      </c>
    </row>
    <row r="1123" spans="1:28" ht="12.75" customHeight="1">
      <c r="A1123" s="113" t="s">
        <v>21</v>
      </c>
      <c r="B1123" s="114"/>
      <c r="C1123" s="114"/>
      <c r="D1123" s="114">
        <f>+B1123+C1123</f>
        <v>0</v>
      </c>
      <c r="E1123" s="114"/>
      <c r="F1123" s="114"/>
      <c r="G1123" s="114"/>
      <c r="H1123" s="114">
        <f>SUM(E1123:G1123)</f>
        <v>0</v>
      </c>
      <c r="I1123" s="43"/>
      <c r="J1123" s="43"/>
      <c r="K1123" s="43"/>
      <c r="L1123" s="78">
        <f>SUM(I1123:K1123)</f>
        <v>0</v>
      </c>
      <c r="M1123" s="143">
        <f t="shared" si="680"/>
        <v>0</v>
      </c>
      <c r="N1123" s="236">
        <f t="shared" si="680"/>
        <v>0</v>
      </c>
      <c r="O1123" s="143">
        <f t="shared" si="680"/>
        <v>0</v>
      </c>
      <c r="P1123" s="144">
        <f>SUM(M1123:O1123)</f>
        <v>0</v>
      </c>
      <c r="Q1123" s="106"/>
      <c r="R1123" s="178" t="s">
        <v>15</v>
      </c>
      <c r="S1123" s="179">
        <f>S1124+S1125+S1126</f>
        <v>0</v>
      </c>
      <c r="T1123" s="179">
        <f>T1124+T1125+T1126</f>
        <v>0</v>
      </c>
      <c r="U1123" s="179">
        <f>U1124+U1125+U1126</f>
        <v>0</v>
      </c>
      <c r="V1123" s="179">
        <f>V1124+V1125+V1126</f>
        <v>0</v>
      </c>
      <c r="Y1123" s="171"/>
    </row>
    <row r="1124" spans="1:28" ht="12.75" customHeight="1">
      <c r="A1124" s="229"/>
      <c r="B1124" s="230"/>
      <c r="C1124" s="230"/>
      <c r="D1124" s="230"/>
      <c r="E1124" s="102"/>
      <c r="F1124" s="102"/>
      <c r="G1124" s="102"/>
      <c r="H1124" s="102"/>
      <c r="I1124" s="74"/>
      <c r="J1124" s="74"/>
      <c r="K1124" s="74"/>
      <c r="L1124" s="138"/>
      <c r="M1124" s="102"/>
      <c r="N1124" s="104"/>
      <c r="O1124" s="102"/>
      <c r="P1124" s="105"/>
      <c r="Q1124" s="227"/>
      <c r="R1124" s="180" t="s">
        <v>16</v>
      </c>
      <c r="S1124" s="171"/>
      <c r="T1124" s="171"/>
      <c r="U1124" s="171"/>
      <c r="V1124" s="171">
        <f>S1124+T1124+U1124</f>
        <v>0</v>
      </c>
    </row>
    <row r="1125" spans="1:28" ht="12.75" customHeight="1">
      <c r="A1125" s="181" t="s">
        <v>345</v>
      </c>
      <c r="B1125" s="102">
        <f>+B1126+B1130</f>
        <v>533320</v>
      </c>
      <c r="C1125" s="102">
        <f>+C1126+C1130</f>
        <v>21637</v>
      </c>
      <c r="D1125" s="102">
        <f>+D1126+D1130</f>
        <v>554957</v>
      </c>
      <c r="E1125" s="102">
        <f t="shared" ref="E1125:P1125" si="681">+E1126+E1130</f>
        <v>352211</v>
      </c>
      <c r="F1125" s="102">
        <f t="shared" si="681"/>
        <v>219468</v>
      </c>
      <c r="G1125" s="102">
        <f t="shared" si="681"/>
        <v>46917</v>
      </c>
      <c r="H1125" s="102">
        <f t="shared" si="681"/>
        <v>618596</v>
      </c>
      <c r="I1125" s="139">
        <f>+I1126+I1130</f>
        <v>339045</v>
      </c>
      <c r="J1125" s="139">
        <f>+J1126+J1130</f>
        <v>210985</v>
      </c>
      <c r="K1125" s="139">
        <f>+K1126+K1130</f>
        <v>4213</v>
      </c>
      <c r="L1125" s="139">
        <f>+L1126+L1130</f>
        <v>554243</v>
      </c>
      <c r="M1125" s="102">
        <f t="shared" si="681"/>
        <v>13166</v>
      </c>
      <c r="N1125" s="104">
        <f t="shared" si="681"/>
        <v>8483</v>
      </c>
      <c r="O1125" s="102">
        <f t="shared" si="681"/>
        <v>42704</v>
      </c>
      <c r="P1125" s="105">
        <f t="shared" si="681"/>
        <v>64353</v>
      </c>
      <c r="Q1125" s="106">
        <f>+L1125/H1125</f>
        <v>0.89596925941971817</v>
      </c>
      <c r="R1125" s="180" t="s">
        <v>17</v>
      </c>
      <c r="S1125" s="171"/>
      <c r="T1125" s="171"/>
      <c r="U1125" s="171"/>
      <c r="V1125" s="171">
        <f>S1125+T1125+U1125</f>
        <v>0</v>
      </c>
    </row>
    <row r="1126" spans="1:28" ht="12.75" customHeight="1">
      <c r="A1126" s="127" t="s">
        <v>15</v>
      </c>
      <c r="B1126" s="108">
        <f>SUM(B1127:B1129)</f>
        <v>533320</v>
      </c>
      <c r="C1126" s="108">
        <f>SUM(C1127:C1129)</f>
        <v>21637</v>
      </c>
      <c r="D1126" s="108">
        <f>SUM(D1127:D1129)</f>
        <v>554957</v>
      </c>
      <c r="E1126" s="108">
        <f t="shared" ref="E1126:P1126" si="682">SUM(E1127:E1129)</f>
        <v>352211</v>
      </c>
      <c r="F1126" s="108">
        <f t="shared" si="682"/>
        <v>219468</v>
      </c>
      <c r="G1126" s="108">
        <f t="shared" si="682"/>
        <v>46917</v>
      </c>
      <c r="H1126" s="108">
        <f t="shared" si="682"/>
        <v>618596</v>
      </c>
      <c r="I1126" s="141">
        <f>SUM(I1127:I1129)</f>
        <v>339045</v>
      </c>
      <c r="J1126" s="141">
        <f>SUM(J1127:J1129)</f>
        <v>210985</v>
      </c>
      <c r="K1126" s="141">
        <f>SUM(K1127:K1129)</f>
        <v>4213</v>
      </c>
      <c r="L1126" s="141">
        <f>SUM(L1127:L1129)</f>
        <v>554243</v>
      </c>
      <c r="M1126" s="108">
        <f t="shared" si="682"/>
        <v>13166</v>
      </c>
      <c r="N1126" s="111">
        <f t="shared" si="682"/>
        <v>8483</v>
      </c>
      <c r="O1126" s="108">
        <f t="shared" si="682"/>
        <v>42704</v>
      </c>
      <c r="P1126" s="112">
        <f t="shared" si="682"/>
        <v>64353</v>
      </c>
      <c r="Q1126" s="106"/>
      <c r="R1126" s="180" t="s">
        <v>18</v>
      </c>
      <c r="S1126" s="171"/>
      <c r="T1126" s="171"/>
      <c r="U1126" s="171"/>
      <c r="V1126" s="171">
        <f>S1126+T1126+U1126</f>
        <v>0</v>
      </c>
    </row>
    <row r="1127" spans="1:28" ht="12.75" customHeight="1">
      <c r="A1127" s="113" t="s">
        <v>16</v>
      </c>
      <c r="B1127" s="114">
        <f t="shared" ref="B1127:G1129" si="683">+B1136+B1145+B1154+B1163</f>
        <v>506495</v>
      </c>
      <c r="C1127" s="114">
        <f t="shared" si="683"/>
        <v>0</v>
      </c>
      <c r="D1127" s="114">
        <f t="shared" si="683"/>
        <v>506495</v>
      </c>
      <c r="E1127" s="114">
        <f t="shared" si="683"/>
        <v>289406</v>
      </c>
      <c r="F1127" s="114">
        <f t="shared" si="683"/>
        <v>213143</v>
      </c>
      <c r="G1127" s="114">
        <f t="shared" si="683"/>
        <v>46917</v>
      </c>
      <c r="H1127" s="114">
        <f>SUM(E1127:G1127)</f>
        <v>549466</v>
      </c>
      <c r="I1127" s="143">
        <f t="shared" ref="I1127:K1129" si="684">+I1136+I1145+I1154+I1163</f>
        <v>289299</v>
      </c>
      <c r="J1127" s="143">
        <f t="shared" si="684"/>
        <v>204660</v>
      </c>
      <c r="K1127" s="143">
        <f t="shared" si="684"/>
        <v>4213</v>
      </c>
      <c r="L1127" s="143">
        <f>SUM(I1127:K1127)</f>
        <v>498172</v>
      </c>
      <c r="M1127" s="114">
        <f t="shared" ref="M1127:O1129" si="685">+E1127-I1127</f>
        <v>107</v>
      </c>
      <c r="N1127" s="115">
        <f t="shared" si="685"/>
        <v>8483</v>
      </c>
      <c r="O1127" s="114">
        <f t="shared" si="685"/>
        <v>42704</v>
      </c>
      <c r="P1127" s="116">
        <f>SUM(M1127:O1127)</f>
        <v>51294</v>
      </c>
      <c r="Q1127" s="106"/>
      <c r="R1127" s="180" t="s">
        <v>19</v>
      </c>
      <c r="S1127" s="179">
        <f>+S1128+S1129</f>
        <v>0</v>
      </c>
      <c r="T1127" s="179">
        <f>+T1128+T1129</f>
        <v>0</v>
      </c>
      <c r="U1127" s="179">
        <f>+U1128+U1129</f>
        <v>0</v>
      </c>
      <c r="V1127" s="179">
        <f>+V1128+V1129</f>
        <v>0</v>
      </c>
    </row>
    <row r="1128" spans="1:28" ht="12.75" customHeight="1">
      <c r="A1128" s="113" t="s">
        <v>17</v>
      </c>
      <c r="B1128" s="114">
        <f t="shared" si="683"/>
        <v>0</v>
      </c>
      <c r="C1128" s="114">
        <f t="shared" si="683"/>
        <v>21637</v>
      </c>
      <c r="D1128" s="114">
        <f t="shared" si="683"/>
        <v>21637</v>
      </c>
      <c r="E1128" s="114">
        <f t="shared" si="683"/>
        <v>35186</v>
      </c>
      <c r="F1128" s="114">
        <f t="shared" si="683"/>
        <v>6325</v>
      </c>
      <c r="G1128" s="114">
        <f t="shared" si="683"/>
        <v>0</v>
      </c>
      <c r="H1128" s="114">
        <f>SUM(E1128:G1128)</f>
        <v>41511</v>
      </c>
      <c r="I1128" s="143">
        <f t="shared" si="684"/>
        <v>22474</v>
      </c>
      <c r="J1128" s="143">
        <f t="shared" si="684"/>
        <v>6325</v>
      </c>
      <c r="K1128" s="143">
        <f t="shared" si="684"/>
        <v>0</v>
      </c>
      <c r="L1128" s="143">
        <f>SUM(I1128:K1128)</f>
        <v>28799</v>
      </c>
      <c r="M1128" s="114">
        <f t="shared" si="685"/>
        <v>12712</v>
      </c>
      <c r="N1128" s="115">
        <f t="shared" si="685"/>
        <v>0</v>
      </c>
      <c r="O1128" s="114">
        <f t="shared" si="685"/>
        <v>0</v>
      </c>
      <c r="P1128" s="116">
        <f>SUM(M1128:O1128)</f>
        <v>12712</v>
      </c>
      <c r="Q1128" s="106"/>
      <c r="R1128" s="180" t="s">
        <v>20</v>
      </c>
      <c r="S1128" s="171"/>
      <c r="T1128" s="171"/>
      <c r="U1128" s="171"/>
      <c r="V1128" s="171">
        <f>S1128+T1128+U1128</f>
        <v>0</v>
      </c>
    </row>
    <row r="1129" spans="1:28" ht="12.75" customHeight="1">
      <c r="A1129" s="113" t="s">
        <v>18</v>
      </c>
      <c r="B1129" s="114">
        <f t="shared" si="683"/>
        <v>26825</v>
      </c>
      <c r="C1129" s="114">
        <f t="shared" si="683"/>
        <v>0</v>
      </c>
      <c r="D1129" s="114">
        <f t="shared" si="683"/>
        <v>26825</v>
      </c>
      <c r="E1129" s="114">
        <f t="shared" si="683"/>
        <v>27619</v>
      </c>
      <c r="F1129" s="114">
        <f t="shared" si="683"/>
        <v>0</v>
      </c>
      <c r="G1129" s="114">
        <f t="shared" si="683"/>
        <v>0</v>
      </c>
      <c r="H1129" s="114">
        <f>SUM(E1129:G1129)</f>
        <v>27619</v>
      </c>
      <c r="I1129" s="143">
        <f t="shared" si="684"/>
        <v>27272</v>
      </c>
      <c r="J1129" s="143">
        <f t="shared" si="684"/>
        <v>0</v>
      </c>
      <c r="K1129" s="143">
        <f t="shared" si="684"/>
        <v>0</v>
      </c>
      <c r="L1129" s="143">
        <f>SUM(I1129:K1129)</f>
        <v>27272</v>
      </c>
      <c r="M1129" s="114">
        <f t="shared" si="685"/>
        <v>347</v>
      </c>
      <c r="N1129" s="115">
        <f t="shared" si="685"/>
        <v>0</v>
      </c>
      <c r="O1129" s="114">
        <f t="shared" si="685"/>
        <v>0</v>
      </c>
      <c r="P1129" s="116">
        <f>SUM(M1129:O1129)</f>
        <v>347</v>
      </c>
      <c r="Q1129" s="106"/>
      <c r="R1129" s="180" t="s">
        <v>21</v>
      </c>
      <c r="S1129" s="171"/>
      <c r="T1129" s="171"/>
      <c r="U1129" s="171"/>
      <c r="V1129" s="171">
        <f>S1129+T1129+U1129</f>
        <v>0</v>
      </c>
    </row>
    <row r="1130" spans="1:28" ht="12.75" customHeight="1">
      <c r="A1130" s="113" t="s">
        <v>19</v>
      </c>
      <c r="B1130" s="102">
        <f>SUM(B1131:B1132)</f>
        <v>0</v>
      </c>
      <c r="C1130" s="102">
        <f>SUM(C1131:C1132)</f>
        <v>0</v>
      </c>
      <c r="D1130" s="102">
        <f>SUM(D1131:D1132)</f>
        <v>0</v>
      </c>
      <c r="E1130" s="102">
        <f t="shared" ref="E1130:P1130" si="686">SUM(E1131:E1132)</f>
        <v>0</v>
      </c>
      <c r="F1130" s="102">
        <f t="shared" si="686"/>
        <v>0</v>
      </c>
      <c r="G1130" s="102">
        <f t="shared" si="686"/>
        <v>0</v>
      </c>
      <c r="H1130" s="102">
        <f t="shared" si="686"/>
        <v>0</v>
      </c>
      <c r="I1130" s="139">
        <f>SUM(I1131:I1132)</f>
        <v>0</v>
      </c>
      <c r="J1130" s="139">
        <f>SUM(J1131:J1132)</f>
        <v>0</v>
      </c>
      <c r="K1130" s="139">
        <f>SUM(K1131:K1132)</f>
        <v>0</v>
      </c>
      <c r="L1130" s="139">
        <f>SUM(L1131:L1132)</f>
        <v>0</v>
      </c>
      <c r="M1130" s="102">
        <f t="shared" si="686"/>
        <v>0</v>
      </c>
      <c r="N1130" s="104">
        <f t="shared" si="686"/>
        <v>0</v>
      </c>
      <c r="O1130" s="102">
        <f t="shared" si="686"/>
        <v>0</v>
      </c>
      <c r="P1130" s="105">
        <f t="shared" si="686"/>
        <v>0</v>
      </c>
      <c r="Q1130" s="106"/>
      <c r="S1130" s="182"/>
      <c r="T1130" s="171"/>
      <c r="U1130" s="171"/>
    </row>
    <row r="1131" spans="1:28" ht="12.75" customHeight="1">
      <c r="A1131" s="113" t="s">
        <v>20</v>
      </c>
      <c r="B1131" s="114">
        <f t="shared" ref="B1131:G1132" si="687">+B1140+B1149+B1158+B1167</f>
        <v>0</v>
      </c>
      <c r="C1131" s="114">
        <f t="shared" si="687"/>
        <v>0</v>
      </c>
      <c r="D1131" s="114">
        <f t="shared" si="687"/>
        <v>0</v>
      </c>
      <c r="E1131" s="114">
        <f t="shared" si="687"/>
        <v>0</v>
      </c>
      <c r="F1131" s="114">
        <f t="shared" si="687"/>
        <v>0</v>
      </c>
      <c r="G1131" s="114">
        <f t="shared" si="687"/>
        <v>0</v>
      </c>
      <c r="H1131" s="114">
        <f>SUM(E1131:G1131)</f>
        <v>0</v>
      </c>
      <c r="I1131" s="143">
        <f t="shared" ref="I1131:K1132" si="688">+I1140+I1149+I1158+I1167</f>
        <v>0</v>
      </c>
      <c r="J1131" s="143">
        <f t="shared" si="688"/>
        <v>0</v>
      </c>
      <c r="K1131" s="143">
        <f t="shared" si="688"/>
        <v>0</v>
      </c>
      <c r="L1131" s="143">
        <f>SUM(I1131:K1131)</f>
        <v>0</v>
      </c>
      <c r="M1131" s="114">
        <f t="shared" ref="M1131:O1132" si="689">+E1131-I1131</f>
        <v>0</v>
      </c>
      <c r="N1131" s="115">
        <f t="shared" si="689"/>
        <v>0</v>
      </c>
      <c r="O1131" s="114">
        <f t="shared" si="689"/>
        <v>0</v>
      </c>
      <c r="P1131" s="116">
        <f>SUM(M1131:O1131)</f>
        <v>0</v>
      </c>
      <c r="Q1131" s="106"/>
      <c r="R1131" s="159" t="s">
        <v>370</v>
      </c>
      <c r="S1131" s="177">
        <f>+S1132+S1136</f>
        <v>224889</v>
      </c>
      <c r="T1131" s="177">
        <f>+T1132+T1136</f>
        <v>29815</v>
      </c>
      <c r="U1131" s="177">
        <f>+U1132+U1136</f>
        <v>0</v>
      </c>
      <c r="V1131" s="177">
        <f>+V1132+V1136</f>
        <v>254704</v>
      </c>
    </row>
    <row r="1132" spans="1:28" ht="12.75" customHeight="1">
      <c r="A1132" s="113" t="s">
        <v>21</v>
      </c>
      <c r="B1132" s="114">
        <f t="shared" si="687"/>
        <v>0</v>
      </c>
      <c r="C1132" s="114">
        <f t="shared" si="687"/>
        <v>0</v>
      </c>
      <c r="D1132" s="114">
        <f t="shared" si="687"/>
        <v>0</v>
      </c>
      <c r="E1132" s="114">
        <f t="shared" si="687"/>
        <v>0</v>
      </c>
      <c r="F1132" s="114">
        <f t="shared" si="687"/>
        <v>0</v>
      </c>
      <c r="G1132" s="114">
        <f t="shared" si="687"/>
        <v>0</v>
      </c>
      <c r="H1132" s="114">
        <f>SUM(E1132:G1132)</f>
        <v>0</v>
      </c>
      <c r="I1132" s="143">
        <f t="shared" si="688"/>
        <v>0</v>
      </c>
      <c r="J1132" s="143">
        <f t="shared" si="688"/>
        <v>0</v>
      </c>
      <c r="K1132" s="143">
        <f t="shared" si="688"/>
        <v>0</v>
      </c>
      <c r="L1132" s="143">
        <f>SUM(I1132:K1132)</f>
        <v>0</v>
      </c>
      <c r="M1132" s="114">
        <f t="shared" si="689"/>
        <v>0</v>
      </c>
      <c r="N1132" s="115">
        <f t="shared" si="689"/>
        <v>0</v>
      </c>
      <c r="O1132" s="114">
        <f t="shared" si="689"/>
        <v>0</v>
      </c>
      <c r="P1132" s="116">
        <f>SUM(M1132:O1132)</f>
        <v>0</v>
      </c>
      <c r="Q1132" s="106"/>
      <c r="R1132" s="178" t="s">
        <v>15</v>
      </c>
      <c r="S1132" s="179">
        <f>S1133+S1134+S1135</f>
        <v>224889</v>
      </c>
      <c r="T1132" s="179">
        <f>T1133+T1134+T1135</f>
        <v>29815</v>
      </c>
      <c r="U1132" s="179">
        <f>U1133+U1134+U1135</f>
        <v>0</v>
      </c>
      <c r="V1132" s="179">
        <f>V1133+V1134+V1135</f>
        <v>254704</v>
      </c>
    </row>
    <row r="1133" spans="1:28" ht="12.75" customHeight="1">
      <c r="A1133" s="149"/>
      <c r="B1133" s="150"/>
      <c r="C1133" s="150"/>
      <c r="D1133" s="150"/>
      <c r="E1133" s="114"/>
      <c r="F1133" s="114"/>
      <c r="G1133" s="114"/>
      <c r="H1133" s="114"/>
      <c r="I1133" s="43"/>
      <c r="J1133" s="43"/>
      <c r="K1133" s="43"/>
      <c r="L1133" s="78"/>
      <c r="M1133" s="114"/>
      <c r="N1133" s="115"/>
      <c r="O1133" s="114"/>
      <c r="P1133" s="116"/>
      <c r="Q1133" s="106"/>
      <c r="R1133" s="180" t="s">
        <v>16</v>
      </c>
      <c r="S1133" s="171">
        <v>200251</v>
      </c>
      <c r="T1133" s="171">
        <v>29815</v>
      </c>
      <c r="U1133" s="171"/>
      <c r="V1133" s="171">
        <f>S1133+T1133+U1133</f>
        <v>230066</v>
      </c>
    </row>
    <row r="1134" spans="1:28">
      <c r="A1134" s="135" t="s">
        <v>346</v>
      </c>
      <c r="B1134" s="102">
        <f>+B1135+B1139</f>
        <v>71271</v>
      </c>
      <c r="C1134" s="102">
        <f>+C1135+C1139</f>
        <v>0</v>
      </c>
      <c r="D1134" s="102">
        <f>+D1135+D1139</f>
        <v>71271</v>
      </c>
      <c r="E1134" s="102">
        <f t="shared" ref="E1134:P1134" si="690">+E1135+E1139</f>
        <v>33177</v>
      </c>
      <c r="F1134" s="102">
        <f t="shared" si="690"/>
        <v>46711</v>
      </c>
      <c r="G1134" s="102">
        <f t="shared" si="690"/>
        <v>5389</v>
      </c>
      <c r="H1134" s="102">
        <f t="shared" si="690"/>
        <v>85277</v>
      </c>
      <c r="I1134" s="45">
        <f t="shared" si="690"/>
        <v>33177</v>
      </c>
      <c r="J1134" s="45">
        <f t="shared" si="690"/>
        <v>46711</v>
      </c>
      <c r="K1134" s="45">
        <f t="shared" si="690"/>
        <v>0</v>
      </c>
      <c r="L1134" s="103">
        <f t="shared" si="690"/>
        <v>79888</v>
      </c>
      <c r="M1134" s="102">
        <f t="shared" si="690"/>
        <v>0</v>
      </c>
      <c r="N1134" s="104">
        <f t="shared" si="690"/>
        <v>0</v>
      </c>
      <c r="O1134" s="102">
        <f t="shared" si="690"/>
        <v>5389</v>
      </c>
      <c r="P1134" s="105">
        <f t="shared" si="690"/>
        <v>5389</v>
      </c>
      <c r="Q1134" s="106">
        <f>+L1134/H1134</f>
        <v>0.93680593829520264</v>
      </c>
      <c r="R1134" s="180" t="s">
        <v>17</v>
      </c>
      <c r="S1134" s="171">
        <v>7345</v>
      </c>
      <c r="T1134" s="171"/>
      <c r="U1134" s="171"/>
      <c r="V1134" s="171">
        <f>S1134+T1134+U1134</f>
        <v>7345</v>
      </c>
    </row>
    <row r="1135" spans="1:28" ht="12.75" customHeight="1">
      <c r="A1135" s="127" t="s">
        <v>15</v>
      </c>
      <c r="B1135" s="108">
        <f>SUM(B1136:B1138)</f>
        <v>71271</v>
      </c>
      <c r="C1135" s="108">
        <f>SUM(C1136:C1138)</f>
        <v>0</v>
      </c>
      <c r="D1135" s="108">
        <f>SUM(D1136:D1138)</f>
        <v>71271</v>
      </c>
      <c r="E1135" s="108">
        <f t="shared" ref="E1135:P1135" si="691">SUM(E1136:E1138)</f>
        <v>33177</v>
      </c>
      <c r="F1135" s="108">
        <f t="shared" si="691"/>
        <v>46711</v>
      </c>
      <c r="G1135" s="108">
        <f t="shared" si="691"/>
        <v>5389</v>
      </c>
      <c r="H1135" s="108">
        <f t="shared" si="691"/>
        <v>85277</v>
      </c>
      <c r="I1135" s="109">
        <f>SUM(I1136:I1138)</f>
        <v>33177</v>
      </c>
      <c r="J1135" s="109">
        <f>SUM(J1136:J1138)</f>
        <v>46711</v>
      </c>
      <c r="K1135" s="109">
        <f>SUM(K1136:K1138)</f>
        <v>0</v>
      </c>
      <c r="L1135" s="110">
        <f>SUM(L1136:L1138)</f>
        <v>79888</v>
      </c>
      <c r="M1135" s="108">
        <f t="shared" si="691"/>
        <v>0</v>
      </c>
      <c r="N1135" s="111">
        <f t="shared" si="691"/>
        <v>0</v>
      </c>
      <c r="O1135" s="108">
        <f t="shared" si="691"/>
        <v>5389</v>
      </c>
      <c r="P1135" s="112">
        <f t="shared" si="691"/>
        <v>5389</v>
      </c>
      <c r="Q1135" s="106"/>
      <c r="R1135" s="180" t="s">
        <v>18</v>
      </c>
      <c r="S1135" s="171">
        <v>17293</v>
      </c>
      <c r="T1135" s="171"/>
      <c r="U1135" s="171"/>
      <c r="V1135" s="171">
        <f>S1135+T1135+U1135</f>
        <v>17293</v>
      </c>
    </row>
    <row r="1136" spans="1:28" ht="12.75" customHeight="1">
      <c r="A1136" s="113" t="s">
        <v>16</v>
      </c>
      <c r="B1136" s="114">
        <v>68881</v>
      </c>
      <c r="C1136" s="114"/>
      <c r="D1136" s="114">
        <f>+B1136+C1136</f>
        <v>68881</v>
      </c>
      <c r="E1136" s="114">
        <v>25359</v>
      </c>
      <c r="F1136" s="114">
        <v>43522</v>
      </c>
      <c r="G1136" s="114">
        <v>5389</v>
      </c>
      <c r="H1136" s="114">
        <f>SUM(E1136:G1136)</f>
        <v>74270</v>
      </c>
      <c r="I1136" s="43">
        <v>25359</v>
      </c>
      <c r="J1136" s="43">
        <v>43522</v>
      </c>
      <c r="K1136" s="43"/>
      <c r="L1136" s="78">
        <f>SUM(I1136:K1136)</f>
        <v>68881</v>
      </c>
      <c r="M1136" s="114">
        <f t="shared" ref="M1136:O1138" si="692">+E1136-I1136</f>
        <v>0</v>
      </c>
      <c r="N1136" s="115">
        <f t="shared" si="692"/>
        <v>0</v>
      </c>
      <c r="O1136" s="114">
        <f t="shared" si="692"/>
        <v>5389</v>
      </c>
      <c r="P1136" s="116">
        <f>SUM(M1136:O1136)</f>
        <v>5389</v>
      </c>
      <c r="Q1136" s="106"/>
      <c r="R1136" s="180" t="s">
        <v>19</v>
      </c>
      <c r="S1136" s="179">
        <f>S1137+S1138</f>
        <v>0</v>
      </c>
      <c r="T1136" s="179">
        <f>T1137+T1138</f>
        <v>0</v>
      </c>
      <c r="U1136" s="179">
        <f>U1137+U1138</f>
        <v>0</v>
      </c>
      <c r="V1136" s="179">
        <f>V1137+V1138</f>
        <v>0</v>
      </c>
    </row>
    <row r="1137" spans="1:22" ht="12.75" customHeight="1">
      <c r="A1137" s="113" t="s">
        <v>17</v>
      </c>
      <c r="B1137" s="114"/>
      <c r="C1137" s="114"/>
      <c r="D1137" s="114">
        <f>+B1137+C1137</f>
        <v>0</v>
      </c>
      <c r="E1137" s="114">
        <v>5359</v>
      </c>
      <c r="F1137" s="114">
        <v>3189</v>
      </c>
      <c r="G1137" s="114"/>
      <c r="H1137" s="114">
        <f>SUM(E1137:G1137)</f>
        <v>8548</v>
      </c>
      <c r="I1137" s="43">
        <f>5428-69</f>
        <v>5359</v>
      </c>
      <c r="J1137" s="43">
        <v>3189</v>
      </c>
      <c r="K1137" s="43"/>
      <c r="L1137" s="78">
        <f>SUM(I1137:K1137)</f>
        <v>8548</v>
      </c>
      <c r="M1137" s="114">
        <f t="shared" si="692"/>
        <v>0</v>
      </c>
      <c r="N1137" s="115">
        <f t="shared" si="692"/>
        <v>0</v>
      </c>
      <c r="O1137" s="114">
        <f t="shared" si="692"/>
        <v>0</v>
      </c>
      <c r="P1137" s="116">
        <f>SUM(M1137:O1137)</f>
        <v>0</v>
      </c>
      <c r="Q1137" s="106"/>
      <c r="R1137" s="180" t="s">
        <v>20</v>
      </c>
      <c r="S1137" s="171"/>
      <c r="T1137" s="171"/>
      <c r="U1137" s="171"/>
      <c r="V1137" s="171">
        <f>S1137+T1137+U1137</f>
        <v>0</v>
      </c>
    </row>
    <row r="1138" spans="1:22" ht="12.75" customHeight="1">
      <c r="A1138" s="113" t="s">
        <v>18</v>
      </c>
      <c r="B1138" s="114">
        <v>2390</v>
      </c>
      <c r="C1138" s="114"/>
      <c r="D1138" s="114">
        <f>+B1138+C1138</f>
        <v>2390</v>
      </c>
      <c r="E1138" s="114">
        <v>2459</v>
      </c>
      <c r="F1138" s="114"/>
      <c r="G1138" s="114"/>
      <c r="H1138" s="114">
        <f>SUM(E1138:G1138)</f>
        <v>2459</v>
      </c>
      <c r="I1138" s="43">
        <f>2390+69</f>
        <v>2459</v>
      </c>
      <c r="J1138" s="43"/>
      <c r="K1138" s="43"/>
      <c r="L1138" s="78">
        <f>SUM(I1138:K1138)</f>
        <v>2459</v>
      </c>
      <c r="M1138" s="114">
        <f t="shared" si="692"/>
        <v>0</v>
      </c>
      <c r="N1138" s="115">
        <f t="shared" si="692"/>
        <v>0</v>
      </c>
      <c r="O1138" s="114">
        <f t="shared" si="692"/>
        <v>0</v>
      </c>
      <c r="P1138" s="116">
        <f>SUM(M1138:O1138)</f>
        <v>0</v>
      </c>
      <c r="Q1138" s="106"/>
      <c r="R1138" s="180" t="s">
        <v>21</v>
      </c>
      <c r="S1138" s="171"/>
      <c r="T1138" s="171"/>
      <c r="U1138" s="171"/>
      <c r="V1138" s="171">
        <f>S1138+T1138+U1138</f>
        <v>0</v>
      </c>
    </row>
    <row r="1139" spans="1:22" ht="12.75" customHeight="1">
      <c r="A1139" s="113" t="s">
        <v>19</v>
      </c>
      <c r="B1139" s="102">
        <f>SUM(B1140:B1141)</f>
        <v>0</v>
      </c>
      <c r="C1139" s="102">
        <f>SUM(C1140:C1141)</f>
        <v>0</v>
      </c>
      <c r="D1139" s="102">
        <f>SUM(D1140:D1141)</f>
        <v>0</v>
      </c>
      <c r="E1139" s="102">
        <f t="shared" ref="E1139:P1139" si="693">SUM(E1140:E1141)</f>
        <v>0</v>
      </c>
      <c r="F1139" s="102">
        <f t="shared" si="693"/>
        <v>0</v>
      </c>
      <c r="G1139" s="102">
        <f t="shared" si="693"/>
        <v>0</v>
      </c>
      <c r="H1139" s="102">
        <f t="shared" si="693"/>
        <v>0</v>
      </c>
      <c r="I1139" s="45">
        <f>SUM(I1140:I1141)</f>
        <v>0</v>
      </c>
      <c r="J1139" s="45">
        <f>SUM(J1140:J1141)</f>
        <v>0</v>
      </c>
      <c r="K1139" s="45">
        <f>SUM(K1140:K1141)</f>
        <v>0</v>
      </c>
      <c r="L1139" s="103">
        <f>SUM(L1140:L1141)</f>
        <v>0</v>
      </c>
      <c r="M1139" s="102">
        <f t="shared" si="693"/>
        <v>0</v>
      </c>
      <c r="N1139" s="104">
        <f t="shared" si="693"/>
        <v>0</v>
      </c>
      <c r="O1139" s="102">
        <f t="shared" si="693"/>
        <v>0</v>
      </c>
      <c r="P1139" s="105">
        <f t="shared" si="693"/>
        <v>0</v>
      </c>
      <c r="Q1139" s="106"/>
    </row>
    <row r="1140" spans="1:22" ht="12.75" customHeight="1">
      <c r="A1140" s="113" t="s">
        <v>20</v>
      </c>
      <c r="B1140" s="114"/>
      <c r="C1140" s="114">
        <f>+H1140</f>
        <v>0</v>
      </c>
      <c r="D1140" s="114">
        <f>+B1140+C1140</f>
        <v>0</v>
      </c>
      <c r="E1140" s="114"/>
      <c r="F1140" s="114"/>
      <c r="G1140" s="114"/>
      <c r="H1140" s="114">
        <f>SUM(E1140:G1140)</f>
        <v>0</v>
      </c>
      <c r="I1140" s="43"/>
      <c r="J1140" s="43"/>
      <c r="K1140" s="43"/>
      <c r="L1140" s="78">
        <f>SUM(I1140:K1140)</f>
        <v>0</v>
      </c>
      <c r="M1140" s="114">
        <f t="shared" ref="M1140:O1141" si="694">+E1140-I1140</f>
        <v>0</v>
      </c>
      <c r="N1140" s="115">
        <f t="shared" si="694"/>
        <v>0</v>
      </c>
      <c r="O1140" s="114">
        <f t="shared" si="694"/>
        <v>0</v>
      </c>
      <c r="P1140" s="116">
        <f>SUM(M1140:O1140)</f>
        <v>0</v>
      </c>
      <c r="Q1140" s="106"/>
      <c r="R1140" s="159" t="s">
        <v>371</v>
      </c>
      <c r="S1140" s="177">
        <f>+S1141+S1145</f>
        <v>142550</v>
      </c>
      <c r="T1140" s="177">
        <f>+T1141+T1145</f>
        <v>5046</v>
      </c>
      <c r="U1140" s="177">
        <f>+U1141+U1145</f>
        <v>0</v>
      </c>
      <c r="V1140" s="177">
        <f>+V1141+V1145</f>
        <v>147596</v>
      </c>
    </row>
    <row r="1141" spans="1:22" ht="12.75" customHeight="1">
      <c r="A1141" s="113" t="s">
        <v>21</v>
      </c>
      <c r="B1141" s="114"/>
      <c r="C1141" s="114">
        <f>+H1141</f>
        <v>0</v>
      </c>
      <c r="D1141" s="114">
        <f>+B1141+C1141</f>
        <v>0</v>
      </c>
      <c r="E1141" s="114"/>
      <c r="F1141" s="114"/>
      <c r="G1141" s="114"/>
      <c r="H1141" s="114">
        <f>SUM(E1141:G1141)</f>
        <v>0</v>
      </c>
      <c r="I1141" s="43"/>
      <c r="J1141" s="43"/>
      <c r="K1141" s="43"/>
      <c r="L1141" s="78">
        <f>SUM(I1141:K1141)</f>
        <v>0</v>
      </c>
      <c r="M1141" s="114">
        <f t="shared" si="694"/>
        <v>0</v>
      </c>
      <c r="N1141" s="115">
        <f t="shared" si="694"/>
        <v>0</v>
      </c>
      <c r="O1141" s="114">
        <f t="shared" si="694"/>
        <v>0</v>
      </c>
      <c r="P1141" s="116">
        <f>SUM(M1141:O1141)</f>
        <v>0</v>
      </c>
      <c r="Q1141" s="106"/>
      <c r="R1141" s="178" t="s">
        <v>15</v>
      </c>
      <c r="S1141" s="179">
        <f>S1142+S1143+S1144</f>
        <v>142550</v>
      </c>
      <c r="T1141" s="179">
        <f>T1142+T1143+T1144</f>
        <v>5046</v>
      </c>
      <c r="U1141" s="179">
        <f>U1142+U1143+U1144</f>
        <v>0</v>
      </c>
      <c r="V1141" s="179">
        <f>V1142+V1143+V1144</f>
        <v>147596</v>
      </c>
    </row>
    <row r="1142" spans="1:22" ht="12.75" customHeight="1">
      <c r="A1142" s="127"/>
      <c r="B1142" s="137"/>
      <c r="C1142" s="137"/>
      <c r="D1142" s="137"/>
      <c r="E1142" s="114"/>
      <c r="F1142" s="114"/>
      <c r="G1142" s="114"/>
      <c r="H1142" s="114"/>
      <c r="I1142" s="43"/>
      <c r="J1142" s="43"/>
      <c r="K1142" s="43"/>
      <c r="L1142" s="78"/>
      <c r="M1142" s="114"/>
      <c r="N1142" s="115"/>
      <c r="O1142" s="114"/>
      <c r="P1142" s="116"/>
      <c r="Q1142" s="106"/>
      <c r="R1142" s="180" t="s">
        <v>16</v>
      </c>
      <c r="S1142" s="171">
        <v>125218</v>
      </c>
      <c r="T1142" s="171">
        <v>5046</v>
      </c>
      <c r="U1142" s="171"/>
      <c r="V1142" s="171">
        <f>S1142+T1142+U1142</f>
        <v>130264</v>
      </c>
    </row>
    <row r="1143" spans="1:22">
      <c r="A1143" s="120" t="s">
        <v>347</v>
      </c>
      <c r="B1143" s="102">
        <f>+B1144+B1148</f>
        <v>125704</v>
      </c>
      <c r="C1143" s="102">
        <f>+C1144+C1148</f>
        <v>12561</v>
      </c>
      <c r="D1143" s="102">
        <f>+D1144+D1148</f>
        <v>138265</v>
      </c>
      <c r="E1143" s="102">
        <f t="shared" ref="E1143:P1143" si="695">+E1144+E1148</f>
        <v>84951</v>
      </c>
      <c r="F1143" s="102">
        <f t="shared" si="695"/>
        <v>50110</v>
      </c>
      <c r="G1143" s="102">
        <f t="shared" si="695"/>
        <v>17155</v>
      </c>
      <c r="H1143" s="102">
        <f t="shared" si="695"/>
        <v>152216</v>
      </c>
      <c r="I1143" s="45">
        <f t="shared" si="695"/>
        <v>72144</v>
      </c>
      <c r="J1143" s="45">
        <f t="shared" si="695"/>
        <v>41627</v>
      </c>
      <c r="K1143" s="45">
        <f t="shared" si="695"/>
        <v>3450</v>
      </c>
      <c r="L1143" s="103">
        <f t="shared" si="695"/>
        <v>117221</v>
      </c>
      <c r="M1143" s="102">
        <f t="shared" si="695"/>
        <v>12807</v>
      </c>
      <c r="N1143" s="104">
        <f t="shared" si="695"/>
        <v>8483</v>
      </c>
      <c r="O1143" s="102">
        <f t="shared" si="695"/>
        <v>13705</v>
      </c>
      <c r="P1143" s="105">
        <f t="shared" si="695"/>
        <v>34995</v>
      </c>
      <c r="Q1143" s="106">
        <f>+L1143/H1143</f>
        <v>0.77009644189835502</v>
      </c>
      <c r="R1143" s="180" t="s">
        <v>17</v>
      </c>
      <c r="S1143" s="171">
        <v>7410</v>
      </c>
      <c r="T1143" s="171"/>
      <c r="U1143" s="171"/>
      <c r="V1143" s="171">
        <f>S1143+T1143+U1143</f>
        <v>7410</v>
      </c>
    </row>
    <row r="1144" spans="1:22" ht="12.75" customHeight="1">
      <c r="A1144" s="127" t="s">
        <v>15</v>
      </c>
      <c r="B1144" s="108">
        <f>SUM(B1145:B1147)</f>
        <v>125704</v>
      </c>
      <c r="C1144" s="108">
        <f>SUM(C1145:C1147)</f>
        <v>12561</v>
      </c>
      <c r="D1144" s="108">
        <f>SUM(D1145:D1147)</f>
        <v>138265</v>
      </c>
      <c r="E1144" s="108">
        <f t="shared" ref="E1144:P1144" si="696">SUM(E1145:E1147)</f>
        <v>84951</v>
      </c>
      <c r="F1144" s="108">
        <f t="shared" si="696"/>
        <v>50110</v>
      </c>
      <c r="G1144" s="108">
        <f t="shared" si="696"/>
        <v>17155</v>
      </c>
      <c r="H1144" s="108">
        <f t="shared" si="696"/>
        <v>152216</v>
      </c>
      <c r="I1144" s="109">
        <f>SUM(I1145:I1147)</f>
        <v>72144</v>
      </c>
      <c r="J1144" s="109">
        <f>SUM(J1145:J1147)</f>
        <v>41627</v>
      </c>
      <c r="K1144" s="109">
        <f>SUM(K1145:K1147)</f>
        <v>3450</v>
      </c>
      <c r="L1144" s="110">
        <f>SUM(L1145:L1147)</f>
        <v>117221</v>
      </c>
      <c r="M1144" s="108">
        <f t="shared" si="696"/>
        <v>12807</v>
      </c>
      <c r="N1144" s="111">
        <f t="shared" si="696"/>
        <v>8483</v>
      </c>
      <c r="O1144" s="108">
        <f t="shared" si="696"/>
        <v>13705</v>
      </c>
      <c r="P1144" s="112">
        <f t="shared" si="696"/>
        <v>34995</v>
      </c>
      <c r="Q1144" s="106"/>
      <c r="R1144" s="180" t="s">
        <v>18</v>
      </c>
      <c r="S1144" s="171">
        <v>9922</v>
      </c>
      <c r="T1144" s="171"/>
      <c r="U1144" s="171"/>
      <c r="V1144" s="171">
        <f>S1144+T1144+U1144</f>
        <v>9922</v>
      </c>
    </row>
    <row r="1145" spans="1:22" ht="12.75" customHeight="1">
      <c r="A1145" s="113" t="s">
        <v>16</v>
      </c>
      <c r="B1145" s="114">
        <v>119759</v>
      </c>
      <c r="C1145" s="114"/>
      <c r="D1145" s="114">
        <f>+B1145+C1145</f>
        <v>119759</v>
      </c>
      <c r="E1145" s="114">
        <v>66199</v>
      </c>
      <c r="F1145" s="114">
        <v>50110</v>
      </c>
      <c r="G1145" s="114">
        <v>17155</v>
      </c>
      <c r="H1145" s="114">
        <f>SUM(E1145:G1145)</f>
        <v>133464</v>
      </c>
      <c r="I1145" s="43">
        <v>66092</v>
      </c>
      <c r="J1145" s="43">
        <v>41627</v>
      </c>
      <c r="K1145" s="43">
        <v>3450</v>
      </c>
      <c r="L1145" s="78">
        <f>SUM(I1145:K1145)</f>
        <v>111169</v>
      </c>
      <c r="M1145" s="114">
        <f t="shared" ref="M1145:O1147" si="697">+E1145-I1145</f>
        <v>107</v>
      </c>
      <c r="N1145" s="115">
        <f t="shared" si="697"/>
        <v>8483</v>
      </c>
      <c r="O1145" s="114">
        <f t="shared" si="697"/>
        <v>13705</v>
      </c>
      <c r="P1145" s="116">
        <f>SUM(M1145:O1145)</f>
        <v>22295</v>
      </c>
      <c r="Q1145" s="106"/>
      <c r="R1145" s="180" t="s">
        <v>19</v>
      </c>
      <c r="S1145" s="179">
        <f>S1146+S1147</f>
        <v>0</v>
      </c>
      <c r="T1145" s="179">
        <f>T1146+T1147</f>
        <v>0</v>
      </c>
      <c r="U1145" s="179">
        <f>U1146+U1147</f>
        <v>0</v>
      </c>
      <c r="V1145" s="179">
        <f>V1146+V1147</f>
        <v>0</v>
      </c>
    </row>
    <row r="1146" spans="1:22" ht="12.75" customHeight="1">
      <c r="A1146" s="113" t="s">
        <v>17</v>
      </c>
      <c r="B1146" s="114"/>
      <c r="C1146" s="114">
        <f>+H1146</f>
        <v>12561</v>
      </c>
      <c r="D1146" s="114">
        <f>+B1146+C1146</f>
        <v>12561</v>
      </c>
      <c r="E1146" s="114">
        <v>12561</v>
      </c>
      <c r="F1146" s="114"/>
      <c r="G1146" s="114"/>
      <c r="H1146" s="114">
        <f>SUM(E1146:G1146)</f>
        <v>12561</v>
      </c>
      <c r="I1146" s="43"/>
      <c r="J1146" s="43"/>
      <c r="K1146" s="43"/>
      <c r="L1146" s="78">
        <f>SUM(I1146:K1146)</f>
        <v>0</v>
      </c>
      <c r="M1146" s="114">
        <f t="shared" si="697"/>
        <v>12561</v>
      </c>
      <c r="N1146" s="115">
        <f t="shared" si="697"/>
        <v>0</v>
      </c>
      <c r="O1146" s="114">
        <f t="shared" si="697"/>
        <v>0</v>
      </c>
      <c r="P1146" s="116">
        <f>SUM(M1146:O1146)</f>
        <v>12561</v>
      </c>
      <c r="Q1146" s="106"/>
      <c r="R1146" s="180" t="s">
        <v>20</v>
      </c>
      <c r="S1146" s="171"/>
      <c r="T1146" s="171"/>
      <c r="U1146" s="171"/>
      <c r="V1146" s="171">
        <f>S1146+T1146+U1146</f>
        <v>0</v>
      </c>
    </row>
    <row r="1147" spans="1:22" ht="12.75" customHeight="1">
      <c r="A1147" s="113" t="s">
        <v>18</v>
      </c>
      <c r="B1147" s="114">
        <v>5945</v>
      </c>
      <c r="C1147" s="114"/>
      <c r="D1147" s="114">
        <f>+B1147+C1147</f>
        <v>5945</v>
      </c>
      <c r="E1147" s="114">
        <v>6191</v>
      </c>
      <c r="F1147" s="114"/>
      <c r="G1147" s="114"/>
      <c r="H1147" s="114">
        <f>SUM(E1147:G1147)</f>
        <v>6191</v>
      </c>
      <c r="I1147" s="43">
        <v>6052</v>
      </c>
      <c r="J1147" s="43"/>
      <c r="K1147" s="43"/>
      <c r="L1147" s="78">
        <f>SUM(I1147:K1147)</f>
        <v>6052</v>
      </c>
      <c r="M1147" s="114">
        <f t="shared" si="697"/>
        <v>139</v>
      </c>
      <c r="N1147" s="115">
        <f t="shared" si="697"/>
        <v>0</v>
      </c>
      <c r="O1147" s="114">
        <f t="shared" si="697"/>
        <v>0</v>
      </c>
      <c r="P1147" s="116">
        <f>SUM(M1147:O1147)</f>
        <v>139</v>
      </c>
      <c r="Q1147" s="106"/>
      <c r="R1147" s="180" t="s">
        <v>21</v>
      </c>
      <c r="S1147" s="171"/>
      <c r="T1147" s="171"/>
      <c r="U1147" s="171"/>
      <c r="V1147" s="171">
        <f>S1147+T1147+U1147</f>
        <v>0</v>
      </c>
    </row>
    <row r="1148" spans="1:22" ht="12.75" customHeight="1">
      <c r="A1148" s="113" t="s">
        <v>19</v>
      </c>
      <c r="B1148" s="102">
        <f>SUM(B1149:B1150)</f>
        <v>0</v>
      </c>
      <c r="C1148" s="102">
        <f>SUM(C1149:C1150)</f>
        <v>0</v>
      </c>
      <c r="D1148" s="102">
        <f>SUM(D1149:D1150)</f>
        <v>0</v>
      </c>
      <c r="E1148" s="102">
        <f t="shared" ref="E1148:P1148" si="698">SUM(E1149:E1150)</f>
        <v>0</v>
      </c>
      <c r="F1148" s="102">
        <f t="shared" si="698"/>
        <v>0</v>
      </c>
      <c r="G1148" s="102">
        <f t="shared" si="698"/>
        <v>0</v>
      </c>
      <c r="H1148" s="102">
        <f t="shared" si="698"/>
        <v>0</v>
      </c>
      <c r="I1148" s="45">
        <f>SUM(I1149:I1150)</f>
        <v>0</v>
      </c>
      <c r="J1148" s="45">
        <f>SUM(J1149:J1150)</f>
        <v>0</v>
      </c>
      <c r="K1148" s="45">
        <f>SUM(K1149:K1150)</f>
        <v>0</v>
      </c>
      <c r="L1148" s="103">
        <f>SUM(L1149:L1150)</f>
        <v>0</v>
      </c>
      <c r="M1148" s="102">
        <f t="shared" si="698"/>
        <v>0</v>
      </c>
      <c r="N1148" s="104">
        <f t="shared" si="698"/>
        <v>0</v>
      </c>
      <c r="O1148" s="102">
        <f t="shared" si="698"/>
        <v>0</v>
      </c>
      <c r="P1148" s="105">
        <f t="shared" si="698"/>
        <v>0</v>
      </c>
      <c r="Q1148" s="106"/>
    </row>
    <row r="1149" spans="1:22" ht="12.75" customHeight="1">
      <c r="A1149" s="113" t="s">
        <v>20</v>
      </c>
      <c r="B1149" s="114"/>
      <c r="C1149" s="114">
        <f>+H1149</f>
        <v>0</v>
      </c>
      <c r="D1149" s="114">
        <f>+B1149+C1149</f>
        <v>0</v>
      </c>
      <c r="E1149" s="114"/>
      <c r="F1149" s="114"/>
      <c r="G1149" s="114"/>
      <c r="H1149" s="114">
        <f>SUM(E1149:G1149)</f>
        <v>0</v>
      </c>
      <c r="I1149" s="43"/>
      <c r="J1149" s="43"/>
      <c r="K1149" s="43"/>
      <c r="L1149" s="78">
        <f>SUM(I1149:K1149)</f>
        <v>0</v>
      </c>
      <c r="M1149" s="114">
        <f t="shared" ref="M1149:O1150" si="699">+E1149-I1149</f>
        <v>0</v>
      </c>
      <c r="N1149" s="115">
        <f t="shared" si="699"/>
        <v>0</v>
      </c>
      <c r="O1149" s="114">
        <f t="shared" si="699"/>
        <v>0</v>
      </c>
      <c r="P1149" s="116">
        <f>SUM(M1149:O1149)</f>
        <v>0</v>
      </c>
      <c r="Q1149" s="106"/>
      <c r="R1149" s="159" t="s">
        <v>373</v>
      </c>
      <c r="S1149" s="177">
        <f>+S1150+S1154</f>
        <v>91541</v>
      </c>
      <c r="T1149" s="177">
        <f>+T1150+T1154</f>
        <v>8256</v>
      </c>
      <c r="U1149" s="177">
        <f>+U1150+U1154</f>
        <v>2498</v>
      </c>
      <c r="V1149" s="177">
        <f>+V1150+V1154</f>
        <v>102295</v>
      </c>
    </row>
    <row r="1150" spans="1:22" ht="12.75" customHeight="1">
      <c r="A1150" s="113" t="s">
        <v>21</v>
      </c>
      <c r="B1150" s="114"/>
      <c r="C1150" s="114"/>
      <c r="D1150" s="114">
        <f>+B1150+C1150</f>
        <v>0</v>
      </c>
      <c r="E1150" s="114"/>
      <c r="F1150" s="114"/>
      <c r="G1150" s="114"/>
      <c r="H1150" s="114">
        <f>SUM(E1150:G1150)</f>
        <v>0</v>
      </c>
      <c r="I1150" s="43"/>
      <c r="J1150" s="43"/>
      <c r="K1150" s="43"/>
      <c r="L1150" s="78">
        <f>SUM(I1150:K1150)</f>
        <v>0</v>
      </c>
      <c r="M1150" s="114">
        <f t="shared" si="699"/>
        <v>0</v>
      </c>
      <c r="N1150" s="115">
        <f t="shared" si="699"/>
        <v>0</v>
      </c>
      <c r="O1150" s="114">
        <f t="shared" si="699"/>
        <v>0</v>
      </c>
      <c r="P1150" s="116">
        <f>SUM(M1150:O1150)</f>
        <v>0</v>
      </c>
      <c r="Q1150" s="106"/>
      <c r="R1150" s="178" t="s">
        <v>15</v>
      </c>
      <c r="S1150" s="179">
        <f>S1151+S1152+S1153</f>
        <v>91541</v>
      </c>
      <c r="T1150" s="179">
        <f>T1151+T1152+T1153</f>
        <v>8256</v>
      </c>
      <c r="U1150" s="179">
        <f>U1151+U1152+U1153</f>
        <v>2498</v>
      </c>
      <c r="V1150" s="179">
        <f>V1151+V1152+V1153</f>
        <v>102295</v>
      </c>
    </row>
    <row r="1151" spans="1:22" ht="12.75" customHeight="1">
      <c r="A1151" s="121"/>
      <c r="B1151" s="122"/>
      <c r="C1151" s="122"/>
      <c r="D1151" s="122"/>
      <c r="E1151" s="114"/>
      <c r="F1151" s="114"/>
      <c r="G1151" s="114"/>
      <c r="H1151" s="114"/>
      <c r="I1151" s="43"/>
      <c r="J1151" s="43"/>
      <c r="K1151" s="43"/>
      <c r="L1151" s="78"/>
      <c r="M1151" s="114"/>
      <c r="N1151" s="115"/>
      <c r="O1151" s="114"/>
      <c r="P1151" s="116"/>
      <c r="Q1151" s="106"/>
      <c r="R1151" s="180" t="s">
        <v>16</v>
      </c>
      <c r="S1151" s="171">
        <v>77376</v>
      </c>
      <c r="T1151" s="171">
        <v>8256</v>
      </c>
      <c r="U1151" s="171">
        <v>2498</v>
      </c>
      <c r="V1151" s="171">
        <f>S1151+T1151+U1151</f>
        <v>88130</v>
      </c>
    </row>
    <row r="1152" spans="1:22">
      <c r="A1152" s="120" t="s">
        <v>348</v>
      </c>
      <c r="B1152" s="102">
        <f>+B1153+B1157</f>
        <v>183118</v>
      </c>
      <c r="C1152" s="102">
        <f>+C1153+C1157</f>
        <v>0</v>
      </c>
      <c r="D1152" s="102">
        <f>+D1153+D1157</f>
        <v>183118</v>
      </c>
      <c r="E1152" s="102">
        <f t="shared" ref="E1152:P1152" si="700">+E1153+E1157</f>
        <v>120210</v>
      </c>
      <c r="F1152" s="102">
        <f t="shared" si="700"/>
        <v>74169</v>
      </c>
      <c r="G1152" s="102">
        <f t="shared" si="700"/>
        <v>14604</v>
      </c>
      <c r="H1152" s="102">
        <f t="shared" si="700"/>
        <v>208983</v>
      </c>
      <c r="I1152" s="45">
        <f t="shared" si="700"/>
        <v>120121</v>
      </c>
      <c r="J1152" s="45">
        <f t="shared" si="700"/>
        <v>74169</v>
      </c>
      <c r="K1152" s="45">
        <f t="shared" si="700"/>
        <v>0</v>
      </c>
      <c r="L1152" s="103">
        <f t="shared" si="700"/>
        <v>194290</v>
      </c>
      <c r="M1152" s="102">
        <f t="shared" si="700"/>
        <v>89</v>
      </c>
      <c r="N1152" s="104">
        <f t="shared" si="700"/>
        <v>0</v>
      </c>
      <c r="O1152" s="102">
        <f t="shared" si="700"/>
        <v>14604</v>
      </c>
      <c r="P1152" s="105">
        <f t="shared" si="700"/>
        <v>14693</v>
      </c>
      <c r="Q1152" s="106">
        <f>+L1152/H1152</f>
        <v>0.92969284582956513</v>
      </c>
      <c r="R1152" s="180" t="s">
        <v>17</v>
      </c>
      <c r="S1152" s="171">
        <v>6775</v>
      </c>
      <c r="T1152" s="171"/>
      <c r="U1152" s="171"/>
      <c r="V1152" s="171">
        <f>S1152+T1152+U1152</f>
        <v>6775</v>
      </c>
    </row>
    <row r="1153" spans="1:22" ht="12.75" customHeight="1">
      <c r="A1153" s="127" t="s">
        <v>15</v>
      </c>
      <c r="B1153" s="108">
        <f>SUM(B1154:B1156)</f>
        <v>183118</v>
      </c>
      <c r="C1153" s="108">
        <f>SUM(C1154:C1156)</f>
        <v>0</v>
      </c>
      <c r="D1153" s="108">
        <f>SUM(D1154:D1156)</f>
        <v>183118</v>
      </c>
      <c r="E1153" s="108">
        <f t="shared" ref="E1153:P1153" si="701">SUM(E1154:E1156)</f>
        <v>120210</v>
      </c>
      <c r="F1153" s="108">
        <f t="shared" si="701"/>
        <v>74169</v>
      </c>
      <c r="G1153" s="108">
        <f t="shared" si="701"/>
        <v>14604</v>
      </c>
      <c r="H1153" s="108">
        <f t="shared" si="701"/>
        <v>208983</v>
      </c>
      <c r="I1153" s="109">
        <f>SUM(I1154:I1156)</f>
        <v>120121</v>
      </c>
      <c r="J1153" s="109">
        <f>SUM(J1154:J1156)</f>
        <v>74169</v>
      </c>
      <c r="K1153" s="109">
        <f>SUM(K1154:K1156)</f>
        <v>0</v>
      </c>
      <c r="L1153" s="110">
        <f>SUM(L1154:L1156)</f>
        <v>194290</v>
      </c>
      <c r="M1153" s="108">
        <f t="shared" si="701"/>
        <v>89</v>
      </c>
      <c r="N1153" s="111">
        <f t="shared" si="701"/>
        <v>0</v>
      </c>
      <c r="O1153" s="108">
        <f t="shared" si="701"/>
        <v>14604</v>
      </c>
      <c r="P1153" s="112">
        <f t="shared" si="701"/>
        <v>14693</v>
      </c>
      <c r="Q1153" s="106"/>
      <c r="R1153" s="180" t="s">
        <v>18</v>
      </c>
      <c r="S1153" s="171">
        <v>7390</v>
      </c>
      <c r="T1153" s="171"/>
      <c r="U1153" s="171"/>
      <c r="V1153" s="171">
        <f>S1153+T1153+U1153</f>
        <v>7390</v>
      </c>
    </row>
    <row r="1154" spans="1:22" ht="12.75" customHeight="1">
      <c r="A1154" s="113" t="s">
        <v>16</v>
      </c>
      <c r="B1154" s="114">
        <v>173522</v>
      </c>
      <c r="C1154" s="114"/>
      <c r="D1154" s="114">
        <f>+B1154+C1154</f>
        <v>173522</v>
      </c>
      <c r="E1154" s="114">
        <v>102266</v>
      </c>
      <c r="F1154" s="114">
        <v>71033</v>
      </c>
      <c r="G1154" s="114">
        <v>14604</v>
      </c>
      <c r="H1154" s="114">
        <f>SUM(E1154:G1154)</f>
        <v>187903</v>
      </c>
      <c r="I1154" s="43">
        <f>108466-6200</f>
        <v>102266</v>
      </c>
      <c r="J1154" s="43">
        <f>64833+6200</f>
        <v>71033</v>
      </c>
      <c r="K1154" s="43"/>
      <c r="L1154" s="78">
        <f>SUM(I1154:K1154)</f>
        <v>173299</v>
      </c>
      <c r="M1154" s="114">
        <f t="shared" ref="M1154:O1156" si="702">+E1154-I1154</f>
        <v>0</v>
      </c>
      <c r="N1154" s="115">
        <f t="shared" si="702"/>
        <v>0</v>
      </c>
      <c r="O1154" s="114">
        <f t="shared" si="702"/>
        <v>14604</v>
      </c>
      <c r="P1154" s="116">
        <f>SUM(M1154:O1154)</f>
        <v>14604</v>
      </c>
      <c r="Q1154" s="106"/>
      <c r="R1154" s="180" t="s">
        <v>19</v>
      </c>
      <c r="S1154" s="179">
        <f>S1155+S1156</f>
        <v>0</v>
      </c>
      <c r="T1154" s="179">
        <f>T1155+T1156</f>
        <v>0</v>
      </c>
      <c r="U1154" s="179">
        <f>U1155+U1156</f>
        <v>0</v>
      </c>
      <c r="V1154" s="179">
        <f>V1155+V1156</f>
        <v>0</v>
      </c>
    </row>
    <row r="1155" spans="1:22" ht="12.75" customHeight="1">
      <c r="A1155" s="113" t="s">
        <v>17</v>
      </c>
      <c r="B1155" s="114"/>
      <c r="C1155" s="114"/>
      <c r="D1155" s="114">
        <f>+B1155+C1155</f>
        <v>0</v>
      </c>
      <c r="E1155" s="114">
        <v>8190</v>
      </c>
      <c r="F1155" s="114">
        <v>3136</v>
      </c>
      <c r="G1155" s="114"/>
      <c r="H1155" s="114">
        <f>SUM(E1155:G1155)</f>
        <v>11326</v>
      </c>
      <c r="I1155" s="43">
        <v>8115</v>
      </c>
      <c r="J1155" s="43">
        <v>3136</v>
      </c>
      <c r="K1155" s="43"/>
      <c r="L1155" s="78">
        <f>SUM(I1155:K1155)</f>
        <v>11251</v>
      </c>
      <c r="M1155" s="114">
        <f t="shared" si="702"/>
        <v>75</v>
      </c>
      <c r="N1155" s="115">
        <f t="shared" si="702"/>
        <v>0</v>
      </c>
      <c r="O1155" s="114">
        <f t="shared" si="702"/>
        <v>0</v>
      </c>
      <c r="P1155" s="116">
        <f>SUM(M1155:O1155)</f>
        <v>75</v>
      </c>
      <c r="Q1155" s="106"/>
      <c r="R1155" s="180" t="s">
        <v>20</v>
      </c>
      <c r="S1155" s="171"/>
      <c r="T1155" s="171"/>
      <c r="U1155" s="171"/>
      <c r="V1155" s="171">
        <f>S1155+T1155+U1155</f>
        <v>0</v>
      </c>
    </row>
    <row r="1156" spans="1:22" ht="12.75" customHeight="1">
      <c r="A1156" s="113" t="s">
        <v>18</v>
      </c>
      <c r="B1156" s="114">
        <v>9596</v>
      </c>
      <c r="C1156" s="114"/>
      <c r="D1156" s="114">
        <f>+B1156+C1156</f>
        <v>9596</v>
      </c>
      <c r="E1156" s="114">
        <v>9754</v>
      </c>
      <c r="F1156" s="114"/>
      <c r="G1156" s="114"/>
      <c r="H1156" s="114">
        <f>SUM(E1156:G1156)</f>
        <v>9754</v>
      </c>
      <c r="I1156" s="43">
        <v>9740</v>
      </c>
      <c r="J1156" s="43"/>
      <c r="K1156" s="43"/>
      <c r="L1156" s="78">
        <f>SUM(I1156:K1156)</f>
        <v>9740</v>
      </c>
      <c r="M1156" s="114">
        <f t="shared" si="702"/>
        <v>14</v>
      </c>
      <c r="N1156" s="115">
        <f t="shared" si="702"/>
        <v>0</v>
      </c>
      <c r="O1156" s="114">
        <f t="shared" si="702"/>
        <v>0</v>
      </c>
      <c r="P1156" s="116">
        <f>SUM(M1156:O1156)</f>
        <v>14</v>
      </c>
      <c r="Q1156" s="106"/>
      <c r="R1156" s="180" t="s">
        <v>21</v>
      </c>
      <c r="S1156" s="171"/>
      <c r="T1156" s="171"/>
      <c r="U1156" s="171"/>
      <c r="V1156" s="171">
        <f>S1156+T1156+U1156</f>
        <v>0</v>
      </c>
    </row>
    <row r="1157" spans="1:22" ht="12.75" customHeight="1">
      <c r="A1157" s="113" t="s">
        <v>19</v>
      </c>
      <c r="B1157" s="102">
        <f>SUM(B1158:B1159)</f>
        <v>0</v>
      </c>
      <c r="C1157" s="102">
        <f>SUM(C1158:C1159)</f>
        <v>0</v>
      </c>
      <c r="D1157" s="102">
        <f>SUM(D1158:D1159)</f>
        <v>0</v>
      </c>
      <c r="E1157" s="102">
        <f t="shared" ref="E1157:P1157" si="703">SUM(E1158:E1159)</f>
        <v>0</v>
      </c>
      <c r="F1157" s="102">
        <f t="shared" si="703"/>
        <v>0</v>
      </c>
      <c r="G1157" s="102">
        <f t="shared" si="703"/>
        <v>0</v>
      </c>
      <c r="H1157" s="102">
        <f t="shared" si="703"/>
        <v>0</v>
      </c>
      <c r="I1157" s="45">
        <f>SUM(I1158:I1159)</f>
        <v>0</v>
      </c>
      <c r="J1157" s="45">
        <f>SUM(J1158:J1159)</f>
        <v>0</v>
      </c>
      <c r="K1157" s="45">
        <f>SUM(K1158:K1159)</f>
        <v>0</v>
      </c>
      <c r="L1157" s="103">
        <f>SUM(L1158:L1159)</f>
        <v>0</v>
      </c>
      <c r="M1157" s="102">
        <f t="shared" si="703"/>
        <v>0</v>
      </c>
      <c r="N1157" s="104">
        <f t="shared" si="703"/>
        <v>0</v>
      </c>
      <c r="O1157" s="102">
        <f t="shared" si="703"/>
        <v>0</v>
      </c>
      <c r="P1157" s="105">
        <f t="shared" si="703"/>
        <v>0</v>
      </c>
      <c r="Q1157" s="106"/>
    </row>
    <row r="1158" spans="1:22" ht="12.75" customHeight="1">
      <c r="A1158" s="113" t="s">
        <v>20</v>
      </c>
      <c r="B1158" s="114"/>
      <c r="C1158" s="114">
        <f>+H1158</f>
        <v>0</v>
      </c>
      <c r="D1158" s="114">
        <f>+B1158+C1158</f>
        <v>0</v>
      </c>
      <c r="E1158" s="114">
        <f>I1158</f>
        <v>0</v>
      </c>
      <c r="F1158" s="114">
        <f>J1158</f>
        <v>0</v>
      </c>
      <c r="G1158" s="114">
        <f>K1158</f>
        <v>0</v>
      </c>
      <c r="H1158" s="114">
        <f>SUM(E1158:G1158)</f>
        <v>0</v>
      </c>
      <c r="I1158" s="43"/>
      <c r="J1158" s="43"/>
      <c r="K1158" s="43"/>
      <c r="L1158" s="78">
        <f>SUM(I1158:K1158)</f>
        <v>0</v>
      </c>
      <c r="M1158" s="114">
        <f t="shared" ref="M1158:O1159" si="704">+E1158-I1158</f>
        <v>0</v>
      </c>
      <c r="N1158" s="115">
        <f t="shared" si="704"/>
        <v>0</v>
      </c>
      <c r="O1158" s="114">
        <f t="shared" si="704"/>
        <v>0</v>
      </c>
      <c r="P1158" s="116">
        <f>SUM(M1158:O1158)</f>
        <v>0</v>
      </c>
      <c r="Q1158" s="106"/>
      <c r="R1158" s="159" t="s">
        <v>374</v>
      </c>
      <c r="S1158" s="177">
        <f>+S1159+S1163</f>
        <v>128123</v>
      </c>
      <c r="T1158" s="177">
        <f>+T1159+T1163</f>
        <v>4735</v>
      </c>
      <c r="U1158" s="177">
        <f>+U1159+U1163</f>
        <v>0</v>
      </c>
      <c r="V1158" s="177">
        <f>+V1159+V1163</f>
        <v>132858</v>
      </c>
    </row>
    <row r="1159" spans="1:22" ht="12.75" customHeight="1">
      <c r="A1159" s="113" t="s">
        <v>21</v>
      </c>
      <c r="B1159" s="114"/>
      <c r="C1159" s="114"/>
      <c r="D1159" s="114">
        <f>+B1159+C1159</f>
        <v>0</v>
      </c>
      <c r="E1159" s="114"/>
      <c r="F1159" s="114"/>
      <c r="G1159" s="114"/>
      <c r="H1159" s="114">
        <f>SUM(E1159:G1159)</f>
        <v>0</v>
      </c>
      <c r="I1159" s="43"/>
      <c r="J1159" s="43"/>
      <c r="K1159" s="43"/>
      <c r="L1159" s="78">
        <f>SUM(I1159:K1159)</f>
        <v>0</v>
      </c>
      <c r="M1159" s="114">
        <f t="shared" si="704"/>
        <v>0</v>
      </c>
      <c r="N1159" s="115">
        <f t="shared" si="704"/>
        <v>0</v>
      </c>
      <c r="O1159" s="114">
        <f t="shared" si="704"/>
        <v>0</v>
      </c>
      <c r="P1159" s="116">
        <f>SUM(M1159:O1159)</f>
        <v>0</v>
      </c>
      <c r="Q1159" s="106"/>
      <c r="R1159" s="178" t="s">
        <v>15</v>
      </c>
      <c r="S1159" s="179">
        <f>S1160+S1161+S1162</f>
        <v>128123</v>
      </c>
      <c r="T1159" s="179">
        <f>T1160+T1161+T1162</f>
        <v>4735</v>
      </c>
      <c r="U1159" s="179">
        <f>U1160+U1161+U1162</f>
        <v>0</v>
      </c>
      <c r="V1159" s="179">
        <f>V1160+V1161+V1162</f>
        <v>132858</v>
      </c>
    </row>
    <row r="1160" spans="1:22" ht="12.75" customHeight="1">
      <c r="A1160" s="121"/>
      <c r="B1160" s="122"/>
      <c r="C1160" s="122"/>
      <c r="D1160" s="122"/>
      <c r="E1160" s="114"/>
      <c r="F1160" s="114"/>
      <c r="G1160" s="114"/>
      <c r="H1160" s="114"/>
      <c r="I1160" s="43"/>
      <c r="J1160" s="43"/>
      <c r="K1160" s="43"/>
      <c r="L1160" s="78"/>
      <c r="M1160" s="114"/>
      <c r="N1160" s="115"/>
      <c r="O1160" s="114"/>
      <c r="P1160" s="116"/>
      <c r="Q1160" s="106"/>
      <c r="R1160" s="180" t="s">
        <v>16</v>
      </c>
      <c r="S1160" s="171">
        <v>106920</v>
      </c>
      <c r="T1160" s="171">
        <v>4735</v>
      </c>
      <c r="U1160" s="171"/>
      <c r="V1160" s="171">
        <f>S1160+T1160+U1160</f>
        <v>111655</v>
      </c>
    </row>
    <row r="1161" spans="1:22" ht="12.75" customHeight="1">
      <c r="A1161" s="120" t="s">
        <v>349</v>
      </c>
      <c r="B1161" s="102">
        <f>+B1162+B1166</f>
        <v>153227</v>
      </c>
      <c r="C1161" s="102">
        <f>+C1162+C1166</f>
        <v>9076</v>
      </c>
      <c r="D1161" s="102">
        <f>+D1162+D1166</f>
        <v>162303</v>
      </c>
      <c r="E1161" s="102">
        <f t="shared" ref="E1161:P1161" si="705">+E1162+E1166</f>
        <v>113873</v>
      </c>
      <c r="F1161" s="102">
        <f t="shared" si="705"/>
        <v>48478</v>
      </c>
      <c r="G1161" s="102">
        <f t="shared" si="705"/>
        <v>9769</v>
      </c>
      <c r="H1161" s="102">
        <f t="shared" si="705"/>
        <v>172120</v>
      </c>
      <c r="I1161" s="45">
        <f t="shared" si="705"/>
        <v>113603</v>
      </c>
      <c r="J1161" s="45">
        <f t="shared" si="705"/>
        <v>48478</v>
      </c>
      <c r="K1161" s="45">
        <f t="shared" si="705"/>
        <v>763</v>
      </c>
      <c r="L1161" s="103">
        <f t="shared" si="705"/>
        <v>162844</v>
      </c>
      <c r="M1161" s="102">
        <f t="shared" si="705"/>
        <v>270</v>
      </c>
      <c r="N1161" s="104">
        <f t="shared" si="705"/>
        <v>0</v>
      </c>
      <c r="O1161" s="102">
        <f t="shared" si="705"/>
        <v>9006</v>
      </c>
      <c r="P1161" s="105">
        <f t="shared" si="705"/>
        <v>9276</v>
      </c>
      <c r="Q1161" s="106">
        <f>+L1161/H1161</f>
        <v>0.94610736695328845</v>
      </c>
      <c r="R1161" s="180" t="s">
        <v>17</v>
      </c>
      <c r="S1161" s="171">
        <v>10948</v>
      </c>
      <c r="T1161" s="171"/>
      <c r="U1161" s="171"/>
      <c r="V1161" s="171">
        <f>S1161+T1161+U1161</f>
        <v>10948</v>
      </c>
    </row>
    <row r="1162" spans="1:22" ht="12.75" customHeight="1">
      <c r="A1162" s="127" t="s">
        <v>15</v>
      </c>
      <c r="B1162" s="108">
        <f>SUM(B1163:B1165)</f>
        <v>153227</v>
      </c>
      <c r="C1162" s="108">
        <f>SUM(C1163:C1165)</f>
        <v>9076</v>
      </c>
      <c r="D1162" s="108">
        <f>SUM(D1163:D1165)</f>
        <v>162303</v>
      </c>
      <c r="E1162" s="108">
        <f t="shared" ref="E1162:P1162" si="706">SUM(E1163:E1165)</f>
        <v>113873</v>
      </c>
      <c r="F1162" s="108">
        <f t="shared" si="706"/>
        <v>48478</v>
      </c>
      <c r="G1162" s="108">
        <f t="shared" si="706"/>
        <v>9769</v>
      </c>
      <c r="H1162" s="108">
        <f t="shared" si="706"/>
        <v>172120</v>
      </c>
      <c r="I1162" s="109">
        <f>SUM(I1163:I1165)</f>
        <v>113603</v>
      </c>
      <c r="J1162" s="109">
        <f>SUM(J1163:J1165)</f>
        <v>48478</v>
      </c>
      <c r="K1162" s="109">
        <f>SUM(K1163:K1165)</f>
        <v>763</v>
      </c>
      <c r="L1162" s="110">
        <f>SUM(L1163:L1165)</f>
        <v>162844</v>
      </c>
      <c r="M1162" s="108">
        <f t="shared" si="706"/>
        <v>270</v>
      </c>
      <c r="N1162" s="111">
        <f t="shared" si="706"/>
        <v>0</v>
      </c>
      <c r="O1162" s="108">
        <f t="shared" si="706"/>
        <v>9006</v>
      </c>
      <c r="P1162" s="112">
        <f t="shared" si="706"/>
        <v>9276</v>
      </c>
      <c r="Q1162" s="106"/>
      <c r="R1162" s="180" t="s">
        <v>18</v>
      </c>
      <c r="S1162" s="171">
        <v>10255</v>
      </c>
      <c r="T1162" s="171"/>
      <c r="U1162" s="171"/>
      <c r="V1162" s="171">
        <f>S1162+T1162+U1162</f>
        <v>10255</v>
      </c>
    </row>
    <row r="1163" spans="1:22" ht="12.75" customHeight="1">
      <c r="A1163" s="113" t="s">
        <v>16</v>
      </c>
      <c r="B1163" s="114">
        <v>144333</v>
      </c>
      <c r="C1163" s="114"/>
      <c r="D1163" s="114">
        <f>+B1163+C1163</f>
        <v>144333</v>
      </c>
      <c r="E1163" s="114">
        <v>95582</v>
      </c>
      <c r="F1163" s="114">
        <v>48478</v>
      </c>
      <c r="G1163" s="114">
        <v>9769</v>
      </c>
      <c r="H1163" s="114">
        <f>SUM(E1163:G1163)</f>
        <v>153829</v>
      </c>
      <c r="I1163" s="43">
        <f>95911-329</f>
        <v>95582</v>
      </c>
      <c r="J1163" s="43">
        <v>48478</v>
      </c>
      <c r="K1163" s="43">
        <v>763</v>
      </c>
      <c r="L1163" s="78">
        <f>SUM(I1163:K1163)</f>
        <v>144823</v>
      </c>
      <c r="M1163" s="114">
        <f t="shared" ref="M1163:O1165" si="707">+E1163-I1163</f>
        <v>0</v>
      </c>
      <c r="N1163" s="115">
        <f t="shared" si="707"/>
        <v>0</v>
      </c>
      <c r="O1163" s="114">
        <f t="shared" si="707"/>
        <v>9006</v>
      </c>
      <c r="P1163" s="116">
        <f>SUM(M1163:O1163)</f>
        <v>9006</v>
      </c>
      <c r="Q1163" s="106"/>
      <c r="R1163" s="180" t="s">
        <v>19</v>
      </c>
      <c r="S1163" s="179">
        <f>S1164+S1165</f>
        <v>0</v>
      </c>
      <c r="T1163" s="179">
        <f>T1164+T1165</f>
        <v>0</v>
      </c>
      <c r="U1163" s="179">
        <f>U1164+U1165</f>
        <v>0</v>
      </c>
      <c r="V1163" s="179">
        <f>V1164+V1165</f>
        <v>0</v>
      </c>
    </row>
    <row r="1164" spans="1:22" ht="12.75" customHeight="1">
      <c r="A1164" s="113" t="s">
        <v>17</v>
      </c>
      <c r="B1164" s="114"/>
      <c r="C1164" s="114">
        <f>+H1164</f>
        <v>9076</v>
      </c>
      <c r="D1164" s="114">
        <f>+B1164+C1164</f>
        <v>9076</v>
      </c>
      <c r="E1164" s="114">
        <v>9076</v>
      </c>
      <c r="F1164" s="114"/>
      <c r="G1164" s="114"/>
      <c r="H1164" s="114">
        <f>SUM(E1164:G1164)</f>
        <v>9076</v>
      </c>
      <c r="I1164" s="43">
        <v>9000</v>
      </c>
      <c r="J1164" s="43"/>
      <c r="K1164" s="43"/>
      <c r="L1164" s="78">
        <f>SUM(I1164:K1164)</f>
        <v>9000</v>
      </c>
      <c r="M1164" s="114">
        <f t="shared" si="707"/>
        <v>76</v>
      </c>
      <c r="N1164" s="115">
        <f t="shared" si="707"/>
        <v>0</v>
      </c>
      <c r="O1164" s="114">
        <f t="shared" si="707"/>
        <v>0</v>
      </c>
      <c r="P1164" s="116">
        <f>SUM(M1164:O1164)</f>
        <v>76</v>
      </c>
      <c r="Q1164" s="106"/>
      <c r="R1164" s="180" t="s">
        <v>20</v>
      </c>
      <c r="S1164" s="171"/>
      <c r="T1164" s="171"/>
      <c r="U1164" s="171"/>
      <c r="V1164" s="171">
        <f>S1164+T1164+U1164</f>
        <v>0</v>
      </c>
    </row>
    <row r="1165" spans="1:22" ht="12.75" customHeight="1">
      <c r="A1165" s="113" t="s">
        <v>18</v>
      </c>
      <c r="B1165" s="114">
        <v>8894</v>
      </c>
      <c r="C1165" s="114"/>
      <c r="D1165" s="113">
        <f>+B1165+C1165</f>
        <v>8894</v>
      </c>
      <c r="E1165" s="114">
        <v>9215</v>
      </c>
      <c r="F1165" s="114"/>
      <c r="G1165" s="114"/>
      <c r="H1165" s="114">
        <f>SUM(E1165:G1165)</f>
        <v>9215</v>
      </c>
      <c r="I1165" s="43">
        <f>8692+329</f>
        <v>9021</v>
      </c>
      <c r="J1165" s="43"/>
      <c r="K1165" s="43"/>
      <c r="L1165" s="78">
        <f>SUM(I1165:K1165)</f>
        <v>9021</v>
      </c>
      <c r="M1165" s="114">
        <f t="shared" si="707"/>
        <v>194</v>
      </c>
      <c r="N1165" s="115">
        <f t="shared" si="707"/>
        <v>0</v>
      </c>
      <c r="O1165" s="114">
        <f t="shared" si="707"/>
        <v>0</v>
      </c>
      <c r="P1165" s="116">
        <f>SUM(M1165:O1165)</f>
        <v>194</v>
      </c>
      <c r="Q1165" s="106"/>
      <c r="R1165" s="180" t="s">
        <v>21</v>
      </c>
      <c r="S1165" s="171"/>
      <c r="T1165" s="171"/>
      <c r="U1165" s="171"/>
      <c r="V1165" s="171">
        <f>S1165+T1165+U1165</f>
        <v>0</v>
      </c>
    </row>
    <row r="1166" spans="1:22" ht="12.75" customHeight="1">
      <c r="A1166" s="113" t="s">
        <v>19</v>
      </c>
      <c r="B1166" s="102">
        <f>SUM(B1167:B1168)</f>
        <v>0</v>
      </c>
      <c r="C1166" s="102">
        <f>SUM(C1167:C1168)</f>
        <v>0</v>
      </c>
      <c r="D1166" s="102">
        <f>SUM(D1167:D1168)</f>
        <v>0</v>
      </c>
      <c r="E1166" s="102">
        <f t="shared" ref="E1166:P1166" si="708">SUM(E1167:E1168)</f>
        <v>0</v>
      </c>
      <c r="F1166" s="102">
        <f t="shared" si="708"/>
        <v>0</v>
      </c>
      <c r="G1166" s="102">
        <f t="shared" si="708"/>
        <v>0</v>
      </c>
      <c r="H1166" s="102">
        <f t="shared" si="708"/>
        <v>0</v>
      </c>
      <c r="I1166" s="45">
        <f>SUM(I1167:I1168)</f>
        <v>0</v>
      </c>
      <c r="J1166" s="45">
        <f>SUM(J1167:J1168)</f>
        <v>0</v>
      </c>
      <c r="K1166" s="45">
        <f>SUM(K1167:K1168)</f>
        <v>0</v>
      </c>
      <c r="L1166" s="103">
        <f>SUM(L1167:L1168)</f>
        <v>0</v>
      </c>
      <c r="M1166" s="102">
        <f t="shared" si="708"/>
        <v>0</v>
      </c>
      <c r="N1166" s="104">
        <f t="shared" si="708"/>
        <v>0</v>
      </c>
      <c r="O1166" s="102">
        <f t="shared" si="708"/>
        <v>0</v>
      </c>
      <c r="P1166" s="105">
        <f t="shared" si="708"/>
        <v>0</v>
      </c>
      <c r="Q1166" s="106"/>
    </row>
    <row r="1167" spans="1:22" ht="12.75" customHeight="1">
      <c r="A1167" s="113" t="s">
        <v>20</v>
      </c>
      <c r="B1167" s="114"/>
      <c r="C1167" s="114">
        <f>+H1167</f>
        <v>0</v>
      </c>
      <c r="D1167" s="114">
        <f>+B1167+C1167</f>
        <v>0</v>
      </c>
      <c r="E1167" s="114"/>
      <c r="F1167" s="114"/>
      <c r="G1167" s="114"/>
      <c r="H1167" s="114">
        <f>SUM(E1167:G1167)</f>
        <v>0</v>
      </c>
      <c r="I1167" s="43"/>
      <c r="J1167" s="43"/>
      <c r="K1167" s="43"/>
      <c r="L1167" s="78">
        <f>SUM(I1167:K1167)</f>
        <v>0</v>
      </c>
      <c r="M1167" s="114">
        <f t="shared" ref="M1167:O1168" si="709">+E1167-I1167</f>
        <v>0</v>
      </c>
      <c r="N1167" s="115">
        <f t="shared" si="709"/>
        <v>0</v>
      </c>
      <c r="O1167" s="114">
        <f t="shared" si="709"/>
        <v>0</v>
      </c>
      <c r="P1167" s="116">
        <f>SUM(M1167:O1167)</f>
        <v>0</v>
      </c>
      <c r="Q1167" s="106"/>
    </row>
    <row r="1168" spans="1:22" ht="12.75" customHeight="1">
      <c r="A1168" s="113" t="s">
        <v>21</v>
      </c>
      <c r="B1168" s="114"/>
      <c r="C1168" s="114">
        <f>+H1168</f>
        <v>0</v>
      </c>
      <c r="D1168" s="114">
        <f>+B1168+C1168</f>
        <v>0</v>
      </c>
      <c r="E1168" s="114"/>
      <c r="F1168" s="114"/>
      <c r="G1168" s="114"/>
      <c r="H1168" s="114">
        <f>SUM(E1168:G1168)</f>
        <v>0</v>
      </c>
      <c r="I1168" s="43"/>
      <c r="J1168" s="43"/>
      <c r="K1168" s="43"/>
      <c r="L1168" s="78">
        <f>SUM(I1168:K1168)</f>
        <v>0</v>
      </c>
      <c r="M1168" s="114">
        <f t="shared" si="709"/>
        <v>0</v>
      </c>
      <c r="N1168" s="115">
        <f t="shared" si="709"/>
        <v>0</v>
      </c>
      <c r="O1168" s="114">
        <f t="shared" si="709"/>
        <v>0</v>
      </c>
      <c r="P1168" s="116">
        <f>SUM(M1168:O1168)</f>
        <v>0</v>
      </c>
      <c r="Q1168" s="106"/>
    </row>
    <row r="1169" spans="1:17" ht="12.75" customHeight="1">
      <c r="A1169" s="242"/>
      <c r="B1169" s="102"/>
      <c r="C1169" s="102"/>
      <c r="D1169" s="102"/>
      <c r="E1169" s="102"/>
      <c r="F1169" s="102"/>
      <c r="G1169" s="102"/>
      <c r="H1169" s="102"/>
      <c r="I1169" s="74"/>
      <c r="J1169" s="74"/>
      <c r="K1169" s="74"/>
      <c r="L1169" s="138"/>
      <c r="M1169" s="102"/>
      <c r="N1169" s="104"/>
      <c r="O1169" s="102"/>
      <c r="P1169" s="105"/>
      <c r="Q1169" s="227"/>
    </row>
    <row r="1170" spans="1:17" ht="12.75" hidden="1" customHeight="1">
      <c r="A1170" s="240" t="s">
        <v>350</v>
      </c>
      <c r="B1170" s="114">
        <v>2500000</v>
      </c>
      <c r="C1170" s="114">
        <f>-C92-C155-C218-C272-C443-C506</f>
        <v>-447355</v>
      </c>
      <c r="D1170" s="114">
        <f>+B1170+C1170</f>
        <v>2052645</v>
      </c>
      <c r="E1170" s="114"/>
      <c r="F1170" s="114"/>
      <c r="G1170" s="114"/>
      <c r="H1170" s="114"/>
      <c r="I1170" s="63"/>
      <c r="J1170" s="63"/>
      <c r="K1170" s="63"/>
      <c r="L1170" s="79"/>
      <c r="M1170" s="114"/>
      <c r="N1170" s="115"/>
      <c r="O1170" s="114"/>
      <c r="P1170" s="116"/>
      <c r="Q1170" s="106"/>
    </row>
    <row r="1171" spans="1:17" ht="12.75" customHeight="1">
      <c r="A1171" s="183"/>
      <c r="B1171" s="184"/>
      <c r="C1171" s="184"/>
      <c r="D1171" s="184"/>
      <c r="E1171" s="102"/>
      <c r="F1171" s="102"/>
      <c r="G1171" s="102"/>
      <c r="H1171" s="102"/>
      <c r="I1171" s="74"/>
      <c r="J1171" s="74"/>
      <c r="K1171" s="74"/>
      <c r="L1171" s="138"/>
      <c r="M1171" s="102"/>
      <c r="N1171" s="104"/>
      <c r="O1171" s="102"/>
      <c r="P1171" s="105"/>
      <c r="Q1171" s="106"/>
    </row>
    <row r="1172" spans="1:17" ht="12.75" customHeight="1" thickBot="1">
      <c r="A1172" s="149" t="s">
        <v>211</v>
      </c>
      <c r="B1172" s="185">
        <f>+B1173+B1177</f>
        <v>38074888</v>
      </c>
      <c r="C1172" s="185">
        <f>+C1173+C1177</f>
        <v>3505900</v>
      </c>
      <c r="D1172" s="185">
        <f>+D1173+D1177</f>
        <v>41580788</v>
      </c>
      <c r="E1172" s="185">
        <f t="shared" ref="E1172:L1172" si="710">+E1173+E1177</f>
        <v>28019859</v>
      </c>
      <c r="F1172" s="185">
        <f t="shared" si="710"/>
        <v>8825054</v>
      </c>
      <c r="G1172" s="185">
        <f t="shared" si="710"/>
        <v>4698879</v>
      </c>
      <c r="H1172" s="185">
        <f t="shared" si="710"/>
        <v>41543792</v>
      </c>
      <c r="I1172" s="186">
        <f t="shared" si="710"/>
        <v>25913682</v>
      </c>
      <c r="J1172" s="186">
        <f t="shared" si="710"/>
        <v>7772237</v>
      </c>
      <c r="K1172" s="186">
        <f t="shared" si="710"/>
        <v>2730865</v>
      </c>
      <c r="L1172" s="186">
        <f t="shared" si="710"/>
        <v>36416784</v>
      </c>
      <c r="M1172" s="185">
        <f>+M1173+M1177</f>
        <v>2106177</v>
      </c>
      <c r="N1172" s="185">
        <f>+N1173+N1177</f>
        <v>1052817</v>
      </c>
      <c r="O1172" s="185">
        <f>+O1173+O1177</f>
        <v>1968014</v>
      </c>
      <c r="P1172" s="185">
        <f>+P1173+P1177</f>
        <v>5127008</v>
      </c>
      <c r="Q1172" s="106">
        <f>+L1172/H1172</f>
        <v>0.87658786660591792</v>
      </c>
    </row>
    <row r="1173" spans="1:17" ht="12.75" customHeight="1" thickTop="1">
      <c r="A1173" s="127" t="s">
        <v>15</v>
      </c>
      <c r="B1173" s="108">
        <f>SUM(B1174:B1176)</f>
        <v>38074888</v>
      </c>
      <c r="C1173" s="108">
        <f>SUM(C1174:C1176)</f>
        <v>3391906</v>
      </c>
      <c r="D1173" s="108">
        <f>SUM(D1174:D1176)</f>
        <v>41466794</v>
      </c>
      <c r="E1173" s="108">
        <f t="shared" ref="E1173:P1173" si="711">SUM(E1174:E1176)</f>
        <v>28019859</v>
      </c>
      <c r="F1173" s="108">
        <f t="shared" si="711"/>
        <v>8761665</v>
      </c>
      <c r="G1173" s="108">
        <f t="shared" si="711"/>
        <v>4581581</v>
      </c>
      <c r="H1173" s="108">
        <f t="shared" si="711"/>
        <v>41363105</v>
      </c>
      <c r="I1173" s="141">
        <f>SUM(I1174:I1176)</f>
        <v>25913682</v>
      </c>
      <c r="J1173" s="141">
        <f>SUM(J1174:J1176)</f>
        <v>7725907</v>
      </c>
      <c r="K1173" s="141">
        <f>SUM(K1174:K1176)</f>
        <v>2678863</v>
      </c>
      <c r="L1173" s="141">
        <f>SUM(L1174:L1176)</f>
        <v>36318452</v>
      </c>
      <c r="M1173" s="108">
        <f t="shared" si="711"/>
        <v>2106177</v>
      </c>
      <c r="N1173" s="111">
        <f t="shared" si="711"/>
        <v>1035758</v>
      </c>
      <c r="O1173" s="108">
        <f t="shared" si="711"/>
        <v>1902718</v>
      </c>
      <c r="P1173" s="112">
        <f t="shared" si="711"/>
        <v>5044653</v>
      </c>
      <c r="Q1173" s="187"/>
    </row>
    <row r="1174" spans="1:17" ht="12.75" customHeight="1">
      <c r="A1174" s="113" t="s">
        <v>16</v>
      </c>
      <c r="B1174" s="114">
        <f t="shared" ref="B1174:G1174" si="712">+B11+B92+B155+B218+B272+B389+B443+B506+B596+B704+B758+B857+B947+B1019+B1064+B1127+B1170</f>
        <v>35934625</v>
      </c>
      <c r="C1174" s="114">
        <f t="shared" si="712"/>
        <v>450</v>
      </c>
      <c r="D1174" s="114">
        <f t="shared" si="712"/>
        <v>35935075</v>
      </c>
      <c r="E1174" s="114">
        <f t="shared" si="712"/>
        <v>23269241</v>
      </c>
      <c r="F1174" s="114">
        <f t="shared" si="712"/>
        <v>8716646</v>
      </c>
      <c r="G1174" s="114">
        <f t="shared" si="712"/>
        <v>3637843</v>
      </c>
      <c r="H1174" s="114">
        <f>SUM(E1174:G1174)</f>
        <v>35623730</v>
      </c>
      <c r="I1174" s="143">
        <f>+I11+I92+I155+I218+I272+I389+I443+I506+I596+I704+I758+I857+I947+I1019+I1064+I1127+I1170</f>
        <v>21630841</v>
      </c>
      <c r="J1174" s="143">
        <f>+J11+J92+J155+J218+J272+J389+J443+J506+J596+J704+J758+J857+J947+J1019+J1064+J1127+J1170</f>
        <v>7686255</v>
      </c>
      <c r="K1174" s="143">
        <f>+K11+K92+K155+K218+K272+K389+K443+K506+K596+K704+K758+K857+K947+K1019+K1064+K1127+K1170</f>
        <v>2278889</v>
      </c>
      <c r="L1174" s="143">
        <f>SUM(I1174:K1174)</f>
        <v>31595985</v>
      </c>
      <c r="M1174" s="114">
        <f t="shared" ref="M1174:O1176" si="713">+E1174-I1174</f>
        <v>1638400</v>
      </c>
      <c r="N1174" s="115">
        <f t="shared" si="713"/>
        <v>1030391</v>
      </c>
      <c r="O1174" s="114">
        <f t="shared" si="713"/>
        <v>1358954</v>
      </c>
      <c r="P1174" s="116">
        <f>SUM(M1174:O1174)</f>
        <v>4027745</v>
      </c>
      <c r="Q1174" s="187"/>
    </row>
    <row r="1175" spans="1:17" ht="12.75" customHeight="1">
      <c r="A1175" s="113" t="s">
        <v>17</v>
      </c>
      <c r="B1175" s="114">
        <f t="shared" ref="B1175:G1176" si="714">+B12+B93+B156+B219+B273+B390+B444+B507+B597+B705+B759+B858+B948+B1020+B1065+B1128</f>
        <v>0</v>
      </c>
      <c r="C1175" s="114">
        <f t="shared" si="714"/>
        <v>3387199</v>
      </c>
      <c r="D1175" s="114">
        <f t="shared" si="714"/>
        <v>3387199</v>
      </c>
      <c r="E1175" s="114">
        <f t="shared" si="714"/>
        <v>2552039</v>
      </c>
      <c r="F1175" s="114">
        <f t="shared" si="714"/>
        <v>45019</v>
      </c>
      <c r="G1175" s="114">
        <f t="shared" si="714"/>
        <v>943738</v>
      </c>
      <c r="H1175" s="114">
        <f>SUM(E1175:G1175)</f>
        <v>3540796</v>
      </c>
      <c r="I1175" s="143">
        <f t="shared" ref="I1175:K1176" si="715">+I12+I93+I156+I219+I273+I390+I444+I507+I597+I705+I759+I858+I948+I1020+I1065+I1128</f>
        <v>2299590</v>
      </c>
      <c r="J1175" s="143">
        <f t="shared" si="715"/>
        <v>39652</v>
      </c>
      <c r="K1175" s="143">
        <f t="shared" si="715"/>
        <v>399974</v>
      </c>
      <c r="L1175" s="143">
        <f>SUM(I1175:K1175)</f>
        <v>2739216</v>
      </c>
      <c r="M1175" s="114">
        <f t="shared" si="713"/>
        <v>252449</v>
      </c>
      <c r="N1175" s="115">
        <f t="shared" si="713"/>
        <v>5367</v>
      </c>
      <c r="O1175" s="114">
        <f t="shared" si="713"/>
        <v>543764</v>
      </c>
      <c r="P1175" s="116">
        <f>SUM(M1175:O1175)</f>
        <v>801580</v>
      </c>
      <c r="Q1175" s="187"/>
    </row>
    <row r="1176" spans="1:17" ht="12.75" customHeight="1">
      <c r="A1176" s="113" t="s">
        <v>18</v>
      </c>
      <c r="B1176" s="114">
        <f t="shared" si="714"/>
        <v>2140263</v>
      </c>
      <c r="C1176" s="114">
        <f t="shared" si="714"/>
        <v>4257</v>
      </c>
      <c r="D1176" s="114">
        <f t="shared" si="714"/>
        <v>2144520</v>
      </c>
      <c r="E1176" s="114">
        <f t="shared" si="714"/>
        <v>2198579</v>
      </c>
      <c r="F1176" s="114">
        <f t="shared" si="714"/>
        <v>0</v>
      </c>
      <c r="G1176" s="114">
        <f t="shared" si="714"/>
        <v>0</v>
      </c>
      <c r="H1176" s="114">
        <f>SUM(E1176:G1176)</f>
        <v>2198579</v>
      </c>
      <c r="I1176" s="143">
        <f t="shared" si="715"/>
        <v>1983251</v>
      </c>
      <c r="J1176" s="143">
        <f t="shared" si="715"/>
        <v>0</v>
      </c>
      <c r="K1176" s="143">
        <f t="shared" si="715"/>
        <v>0</v>
      </c>
      <c r="L1176" s="143">
        <f>SUM(I1176:K1176)</f>
        <v>1983251</v>
      </c>
      <c r="M1176" s="114">
        <f t="shared" si="713"/>
        <v>215328</v>
      </c>
      <c r="N1176" s="115">
        <f t="shared" si="713"/>
        <v>0</v>
      </c>
      <c r="O1176" s="114">
        <f t="shared" si="713"/>
        <v>0</v>
      </c>
      <c r="P1176" s="116">
        <f>SUM(M1176:O1176)</f>
        <v>215328</v>
      </c>
      <c r="Q1176" s="187"/>
    </row>
    <row r="1177" spans="1:17" ht="12.75" customHeight="1">
      <c r="A1177" s="113" t="s">
        <v>19</v>
      </c>
      <c r="B1177" s="102">
        <f>SUM(B1178:B1179)</f>
        <v>0</v>
      </c>
      <c r="C1177" s="102">
        <f>SUM(C1178:C1179)</f>
        <v>113994</v>
      </c>
      <c r="D1177" s="102">
        <f>SUM(D1178:D1179)</f>
        <v>113994</v>
      </c>
      <c r="E1177" s="102">
        <f t="shared" ref="E1177:P1177" si="716">SUM(E1178:E1179)</f>
        <v>0</v>
      </c>
      <c r="F1177" s="102">
        <f t="shared" si="716"/>
        <v>63389</v>
      </c>
      <c r="G1177" s="102">
        <f t="shared" si="716"/>
        <v>117298</v>
      </c>
      <c r="H1177" s="102">
        <f t="shared" si="716"/>
        <v>180687</v>
      </c>
      <c r="I1177" s="139">
        <f>SUM(I1178:I1179)</f>
        <v>0</v>
      </c>
      <c r="J1177" s="139">
        <f>SUM(J1178:J1179)</f>
        <v>46330</v>
      </c>
      <c r="K1177" s="139">
        <f>SUM(K1178:K1179)</f>
        <v>52002</v>
      </c>
      <c r="L1177" s="139">
        <f>SUM(L1178:L1179)</f>
        <v>98332</v>
      </c>
      <c r="M1177" s="102">
        <f t="shared" si="716"/>
        <v>0</v>
      </c>
      <c r="N1177" s="104">
        <f t="shared" si="716"/>
        <v>17059</v>
      </c>
      <c r="O1177" s="102">
        <f t="shared" si="716"/>
        <v>65296</v>
      </c>
      <c r="P1177" s="105">
        <f t="shared" si="716"/>
        <v>82355</v>
      </c>
      <c r="Q1177" s="187"/>
    </row>
    <row r="1178" spans="1:17" ht="12.75" customHeight="1">
      <c r="A1178" s="113" t="s">
        <v>20</v>
      </c>
      <c r="B1178" s="114">
        <f t="shared" ref="B1178:G1179" si="717">+B15+B96+B159+B222+B276+B393+B447+B510+B600+B708+B762+B861+B951+B1023+B1068+B1131</f>
        <v>0</v>
      </c>
      <c r="C1178" s="114">
        <f t="shared" si="717"/>
        <v>113994</v>
      </c>
      <c r="D1178" s="114">
        <f t="shared" si="717"/>
        <v>113994</v>
      </c>
      <c r="E1178" s="114">
        <f t="shared" si="717"/>
        <v>0</v>
      </c>
      <c r="F1178" s="114">
        <f t="shared" si="717"/>
        <v>63389</v>
      </c>
      <c r="G1178" s="114">
        <f t="shared" si="717"/>
        <v>117298</v>
      </c>
      <c r="H1178" s="114">
        <f>SUM(E1178:G1178)</f>
        <v>180687</v>
      </c>
      <c r="I1178" s="143">
        <f t="shared" ref="I1178:K1179" si="718">+I15+I96+I159+I222+I276+I393+I447+I510+I600+I708+I762+I861+I951+I1023+I1068+I1131</f>
        <v>0</v>
      </c>
      <c r="J1178" s="143">
        <f t="shared" si="718"/>
        <v>46330</v>
      </c>
      <c r="K1178" s="143">
        <f t="shared" si="718"/>
        <v>52002</v>
      </c>
      <c r="L1178" s="143">
        <f>SUM(I1178:K1178)</f>
        <v>98332</v>
      </c>
      <c r="M1178" s="114">
        <f t="shared" ref="M1178:O1179" si="719">+E1178-I1178</f>
        <v>0</v>
      </c>
      <c r="N1178" s="115">
        <f t="shared" si="719"/>
        <v>17059</v>
      </c>
      <c r="O1178" s="114">
        <f t="shared" si="719"/>
        <v>65296</v>
      </c>
      <c r="P1178" s="116">
        <f>SUM(M1178:O1178)</f>
        <v>82355</v>
      </c>
      <c r="Q1178" s="187"/>
    </row>
    <row r="1179" spans="1:17" ht="12.75" customHeight="1">
      <c r="A1179" s="113" t="s">
        <v>21</v>
      </c>
      <c r="B1179" s="114">
        <f t="shared" si="717"/>
        <v>0</v>
      </c>
      <c r="C1179" s="114">
        <f t="shared" si="717"/>
        <v>0</v>
      </c>
      <c r="D1179" s="114">
        <f t="shared" si="717"/>
        <v>0</v>
      </c>
      <c r="E1179" s="114">
        <f t="shared" si="717"/>
        <v>0</v>
      </c>
      <c r="F1179" s="114">
        <f t="shared" si="717"/>
        <v>0</v>
      </c>
      <c r="G1179" s="114">
        <f t="shared" si="717"/>
        <v>0</v>
      </c>
      <c r="H1179" s="114">
        <f>SUM(E1179:G1179)</f>
        <v>0</v>
      </c>
      <c r="I1179" s="143">
        <f t="shared" si="718"/>
        <v>0</v>
      </c>
      <c r="J1179" s="143">
        <f t="shared" si="718"/>
        <v>0</v>
      </c>
      <c r="K1179" s="143">
        <f t="shared" si="718"/>
        <v>0</v>
      </c>
      <c r="L1179" s="143">
        <f>SUM(I1179:K1179)</f>
        <v>0</v>
      </c>
      <c r="M1179" s="114">
        <f t="shared" si="719"/>
        <v>0</v>
      </c>
      <c r="N1179" s="115">
        <f t="shared" si="719"/>
        <v>0</v>
      </c>
      <c r="O1179" s="114">
        <f t="shared" si="719"/>
        <v>0</v>
      </c>
      <c r="P1179" s="116">
        <f>SUM(M1179:O1179)</f>
        <v>0</v>
      </c>
      <c r="Q1179" s="187"/>
    </row>
    <row r="1180" spans="1:17" ht="12.75" customHeight="1">
      <c r="A1180" s="188"/>
      <c r="B1180" s="189"/>
      <c r="C1180" s="189"/>
      <c r="D1180" s="189"/>
      <c r="E1180" s="170"/>
      <c r="F1180" s="102"/>
      <c r="G1180" s="102"/>
      <c r="H1180" s="102"/>
      <c r="I1180" s="45"/>
      <c r="J1180" s="190"/>
      <c r="K1180" s="190"/>
      <c r="L1180" s="191"/>
      <c r="M1180" s="102"/>
      <c r="N1180" s="104"/>
      <c r="O1180" s="102"/>
      <c r="P1180" s="105"/>
      <c r="Q1180" s="192"/>
    </row>
    <row r="1181" spans="1:17" hidden="1">
      <c r="A1181" s="92" t="s">
        <v>212</v>
      </c>
      <c r="B1181" s="193"/>
      <c r="C1181" s="193"/>
      <c r="D1181" s="193"/>
    </row>
    <row r="1182" spans="1:17" hidden="1">
      <c r="A1182" s="92" t="s">
        <v>351</v>
      </c>
      <c r="B1182" s="193"/>
      <c r="C1182" s="193"/>
      <c r="D1182" s="193"/>
      <c r="E1182" s="156">
        <f>1118116-E1175</f>
        <v>-1433923</v>
      </c>
      <c r="F1182" s="156">
        <f>53210-F1175</f>
        <v>8191</v>
      </c>
      <c r="G1182" s="156">
        <f>839983-G1175</f>
        <v>-103755</v>
      </c>
      <c r="H1182" s="156">
        <f>2011310-H1175</f>
        <v>-1529486</v>
      </c>
    </row>
    <row r="1183" spans="1:17" hidden="1">
      <c r="A1183" s="92" t="s">
        <v>352</v>
      </c>
      <c r="B1183" s="193"/>
      <c r="C1183" s="193"/>
      <c r="D1183" s="193"/>
      <c r="E1183" s="156">
        <f>2164002-E1176</f>
        <v>-34577</v>
      </c>
      <c r="H1183" s="156">
        <f>2164002-H1176</f>
        <v>-34577</v>
      </c>
    </row>
    <row r="1184" spans="1:17" hidden="1">
      <c r="A1184" s="193"/>
      <c r="B1184" s="193"/>
      <c r="C1184" s="193"/>
      <c r="D1184" s="193"/>
      <c r="H1184" s="194">
        <f>+H1183+H1182</f>
        <v>-1564063</v>
      </c>
    </row>
    <row r="1185" spans="1:9" hidden="1">
      <c r="A1185" s="241" t="s">
        <v>375</v>
      </c>
      <c r="B1185" s="193"/>
      <c r="C1185" s="193"/>
      <c r="D1185" s="193"/>
    </row>
    <row r="1186" spans="1:9" hidden="1">
      <c r="A1186" s="195" t="s">
        <v>376</v>
      </c>
      <c r="B1186" s="193"/>
      <c r="C1186" s="193"/>
      <c r="D1186" s="193"/>
    </row>
    <row r="1187" spans="1:9" ht="15.75" hidden="1" customHeight="1">
      <c r="A1187" s="178"/>
      <c r="B1187" s="193"/>
      <c r="C1187" s="193"/>
      <c r="D1187" s="193"/>
      <c r="E1187" s="156"/>
      <c r="H1187" s="156"/>
    </row>
    <row r="1188" spans="1:9" hidden="1">
      <c r="A1188" s="42" t="s">
        <v>51</v>
      </c>
      <c r="B1188" s="17">
        <f t="shared" ref="B1188:C1188" si="720">+B1189+B1193</f>
        <v>3282118</v>
      </c>
      <c r="C1188" s="17">
        <f t="shared" si="720"/>
        <v>53210</v>
      </c>
      <c r="D1188" s="62"/>
      <c r="E1188" s="196">
        <f t="shared" ref="E1188:H1188" si="721">+E1189+E1193</f>
        <v>26143298</v>
      </c>
      <c r="F1188" s="196">
        <f t="shared" si="721"/>
        <v>9172971</v>
      </c>
      <c r="G1188" s="196"/>
      <c r="H1188" s="196">
        <f t="shared" si="721"/>
        <v>37385590</v>
      </c>
    </row>
    <row r="1189" spans="1:9" s="198" customFormat="1" ht="13.5" hidden="1">
      <c r="A1189" s="41" t="s">
        <v>15</v>
      </c>
      <c r="B1189" s="20">
        <f t="shared" ref="B1189:C1189" si="722">+B1190+B1191+B1192</f>
        <v>3282118</v>
      </c>
      <c r="C1189" s="20">
        <f t="shared" si="722"/>
        <v>53210</v>
      </c>
      <c r="D1189" s="20"/>
      <c r="E1189" s="197">
        <f t="shared" ref="E1189:H1189" si="723">+E1190+E1191+E1192</f>
        <v>26143298</v>
      </c>
      <c r="F1189" s="197">
        <f t="shared" si="723"/>
        <v>9172971</v>
      </c>
      <c r="G1189" s="197"/>
      <c r="H1189" s="197">
        <f t="shared" si="723"/>
        <v>37385590</v>
      </c>
      <c r="I1189" s="92"/>
    </row>
    <row r="1190" spans="1:9" s="198" customFormat="1" ht="13.5" hidden="1">
      <c r="A1190" s="22" t="s">
        <v>16</v>
      </c>
      <c r="B1190" s="25">
        <f>+'[1]By SUCs'!E2068</f>
        <v>0</v>
      </c>
      <c r="C1190" s="25">
        <f>+'[1]By SUCs'!F2068</f>
        <v>0</v>
      </c>
      <c r="D1190" s="25"/>
      <c r="E1190" s="78">
        <v>22861180</v>
      </c>
      <c r="F1190" s="78">
        <v>9119761</v>
      </c>
      <c r="G1190" s="78">
        <v>1229338</v>
      </c>
      <c r="H1190" s="78">
        <f>+G1190+F1190+E1190</f>
        <v>33210279</v>
      </c>
      <c r="I1190" s="92"/>
    </row>
    <row r="1191" spans="1:9" s="198" customFormat="1" ht="13.5" hidden="1">
      <c r="A1191" s="23" t="s">
        <v>17</v>
      </c>
      <c r="B1191" s="25">
        <v>1118116</v>
      </c>
      <c r="C1191" s="25">
        <v>53210</v>
      </c>
      <c r="D1191" s="25"/>
      <c r="E1191" s="78">
        <v>1118116</v>
      </c>
      <c r="F1191" s="78">
        <v>53210</v>
      </c>
      <c r="G1191" s="78">
        <v>839983</v>
      </c>
      <c r="H1191" s="78">
        <f t="shared" ref="H1191:H1195" si="724">+G1191+F1191+E1191</f>
        <v>2011309</v>
      </c>
      <c r="I1191" s="92"/>
    </row>
    <row r="1192" spans="1:9" s="198" customFormat="1" ht="13.5" hidden="1">
      <c r="A1192" s="22" t="s">
        <v>18</v>
      </c>
      <c r="B1192" s="25">
        <v>2164002</v>
      </c>
      <c r="C1192" s="25">
        <f>+'[1]By SUCs'!F2070</f>
        <v>0</v>
      </c>
      <c r="D1192" s="25"/>
      <c r="E1192" s="78">
        <v>2164002</v>
      </c>
      <c r="F1192" s="78">
        <f>+'[1]By SUCs'!I2070</f>
        <v>0</v>
      </c>
      <c r="G1192" s="78"/>
      <c r="H1192" s="78">
        <f t="shared" si="724"/>
        <v>2164002</v>
      </c>
      <c r="I1192" s="92"/>
    </row>
    <row r="1193" spans="1:9" hidden="1">
      <c r="A1193" s="22" t="s">
        <v>19</v>
      </c>
      <c r="B1193" s="44">
        <f t="shared" ref="B1193:C1193" si="725">+B1194+B1195</f>
        <v>0</v>
      </c>
      <c r="C1193" s="44">
        <f t="shared" si="725"/>
        <v>0</v>
      </c>
      <c r="D1193" s="44"/>
      <c r="E1193" s="103">
        <f t="shared" ref="E1193:H1193" si="726">+E1194+E1195</f>
        <v>0</v>
      </c>
      <c r="F1193" s="103">
        <f t="shared" si="726"/>
        <v>0</v>
      </c>
      <c r="G1193" s="103"/>
      <c r="H1193" s="103">
        <f t="shared" si="726"/>
        <v>0</v>
      </c>
    </row>
    <row r="1194" spans="1:9" hidden="1">
      <c r="A1194" s="23" t="s">
        <v>20</v>
      </c>
      <c r="B1194" s="25">
        <f>+'[1]By SUCs'!E2072</f>
        <v>0</v>
      </c>
      <c r="C1194" s="25">
        <f>+'[1]By SUCs'!F2072</f>
        <v>0</v>
      </c>
      <c r="D1194" s="25"/>
      <c r="E1194" s="78">
        <f>+'[1]By SUCs'!H2072</f>
        <v>0</v>
      </c>
      <c r="F1194" s="78">
        <f>+'[1]By SUCs'!I2072</f>
        <v>0</v>
      </c>
      <c r="G1194" s="78"/>
      <c r="H1194" s="78">
        <f t="shared" si="724"/>
        <v>0</v>
      </c>
    </row>
    <row r="1195" spans="1:9" hidden="1">
      <c r="A1195" s="23" t="s">
        <v>21</v>
      </c>
      <c r="B1195" s="25">
        <f>+'[1]By SUCs'!E2073</f>
        <v>0</v>
      </c>
      <c r="C1195" s="25">
        <f>+'[1]By SUCs'!F2073</f>
        <v>0</v>
      </c>
      <c r="D1195" s="25"/>
      <c r="E1195" s="78">
        <f>+'[1]By SUCs'!H2073</f>
        <v>0</v>
      </c>
      <c r="F1195" s="78">
        <f>+'[1]By SUCs'!I2073</f>
        <v>0</v>
      </c>
      <c r="G1195" s="78"/>
      <c r="H1195" s="78">
        <f t="shared" si="724"/>
        <v>0</v>
      </c>
    </row>
    <row r="1196" spans="1:9" ht="13.5" hidden="1">
      <c r="A1196" s="199"/>
      <c r="B1196" s="200"/>
      <c r="C1196" s="201"/>
      <c r="D1196" s="201"/>
      <c r="E1196" s="156"/>
      <c r="H1196" s="156"/>
    </row>
    <row r="1197" spans="1:9" ht="13.5" hidden="1">
      <c r="A1197" s="199"/>
      <c r="B1197" s="200"/>
      <c r="C1197" s="201"/>
      <c r="D1197" s="201"/>
    </row>
    <row r="1198" spans="1:9" ht="13.5">
      <c r="A1198" s="202"/>
      <c r="B1198" s="203"/>
      <c r="C1198" s="204"/>
      <c r="D1198" s="204"/>
    </row>
    <row r="1199" spans="1:9" ht="13.5">
      <c r="A1199" s="206" t="s">
        <v>355</v>
      </c>
      <c r="B1199" s="205"/>
      <c r="C1199" s="201"/>
      <c r="D1199" s="201"/>
    </row>
    <row r="1200" spans="1:9" ht="13.5">
      <c r="A1200" s="199"/>
      <c r="B1200" s="205"/>
      <c r="C1200" s="201"/>
      <c r="D1200" s="201"/>
    </row>
    <row r="1201" spans="1:4" ht="13.5">
      <c r="A1201" s="199"/>
      <c r="B1201" s="205"/>
      <c r="C1201" s="201"/>
      <c r="D1201" s="201"/>
    </row>
    <row r="1202" spans="1:4" ht="13.5">
      <c r="A1202" s="199"/>
      <c r="B1202" s="205"/>
      <c r="C1202" s="201"/>
      <c r="D1202" s="201"/>
    </row>
    <row r="1203" spans="1:4" ht="13.5">
      <c r="A1203" s="199"/>
      <c r="B1203" s="205"/>
      <c r="C1203" s="206"/>
      <c r="D1203" s="206"/>
    </row>
    <row r="1204" spans="1:4" ht="13.5">
      <c r="A1204" s="201"/>
      <c r="B1204" s="205"/>
      <c r="C1204" s="201"/>
      <c r="D1204" s="201"/>
    </row>
    <row r="1205" spans="1:4" ht="13.5">
      <c r="A1205" s="201"/>
      <c r="B1205" s="201"/>
      <c r="C1205" s="201"/>
      <c r="D1205" s="201"/>
    </row>
    <row r="1206" spans="1:4" ht="13.5">
      <c r="A1206" s="204"/>
      <c r="B1206" s="204"/>
      <c r="C1206" s="204"/>
      <c r="D1206" s="204"/>
    </row>
    <row r="1207" spans="1:4" ht="13.5">
      <c r="A1207" s="201"/>
      <c r="B1207" s="201"/>
      <c r="C1207" s="201"/>
      <c r="D1207" s="201"/>
    </row>
    <row r="1208" spans="1:4" ht="13.5">
      <c r="A1208" s="201"/>
      <c r="B1208" s="201"/>
      <c r="C1208" s="201"/>
      <c r="D1208" s="201"/>
    </row>
    <row r="1209" spans="1:4" ht="13.5">
      <c r="A1209" s="201"/>
      <c r="B1209" s="201"/>
      <c r="C1209" s="201"/>
      <c r="D1209" s="201"/>
    </row>
    <row r="1210" spans="1:4" ht="13.5">
      <c r="A1210" s="201"/>
      <c r="B1210" s="201"/>
      <c r="C1210" s="201"/>
      <c r="D1210" s="201"/>
    </row>
    <row r="1211" spans="1:4" ht="13.5">
      <c r="A1211" s="201"/>
      <c r="B1211" s="201"/>
      <c r="C1211" s="201"/>
      <c r="D1211" s="201"/>
    </row>
    <row r="1212" spans="1:4" ht="13.5">
      <c r="A1212" s="201"/>
      <c r="B1212" s="201"/>
      <c r="C1212" s="201"/>
      <c r="D1212" s="201"/>
    </row>
    <row r="1213" spans="1:4" ht="13.5">
      <c r="A1213" s="201"/>
      <c r="B1213" s="201"/>
      <c r="C1213" s="201"/>
      <c r="D1213" s="201"/>
    </row>
    <row r="1214" spans="1:4" ht="13.5">
      <c r="A1214" s="204"/>
      <c r="B1214" s="204"/>
      <c r="C1214" s="204"/>
      <c r="D1214" s="204"/>
    </row>
    <row r="1215" spans="1:4" ht="13.5">
      <c r="A1215" s="201"/>
      <c r="B1215" s="201"/>
      <c r="C1215" s="201"/>
      <c r="D1215" s="201"/>
    </row>
    <row r="1216" spans="1:4" ht="13.5">
      <c r="A1216" s="201"/>
      <c r="B1216" s="201"/>
      <c r="C1216" s="201"/>
      <c r="D1216" s="201"/>
    </row>
    <row r="1217" spans="1:4" ht="13.5">
      <c r="A1217" s="201"/>
      <c r="B1217" s="201"/>
      <c r="C1217" s="201"/>
      <c r="D1217" s="201"/>
    </row>
    <row r="1218" spans="1:4" ht="13.5">
      <c r="A1218" s="201"/>
      <c r="B1218" s="201"/>
      <c r="C1218" s="201"/>
      <c r="D1218" s="201"/>
    </row>
    <row r="1219" spans="1:4" ht="13.5">
      <c r="A1219" s="201"/>
      <c r="B1219" s="201"/>
      <c r="C1219" s="201"/>
      <c r="D1219" s="201"/>
    </row>
    <row r="1220" spans="1:4" ht="13.5">
      <c r="A1220" s="201"/>
      <c r="B1220" s="201"/>
      <c r="C1220" s="201"/>
      <c r="D1220" s="201"/>
    </row>
    <row r="1221" spans="1:4" ht="13.5">
      <c r="A1221" s="201"/>
      <c r="B1221" s="201"/>
      <c r="C1221" s="201"/>
      <c r="D1221" s="201"/>
    </row>
    <row r="1222" spans="1:4" ht="13.5">
      <c r="A1222" s="204"/>
      <c r="B1222" s="204"/>
      <c r="C1222" s="204"/>
      <c r="D1222" s="204"/>
    </row>
    <row r="1223" spans="1:4" ht="13.5">
      <c r="A1223" s="201"/>
      <c r="B1223" s="201"/>
      <c r="C1223" s="201"/>
      <c r="D1223" s="201"/>
    </row>
    <row r="1224" spans="1:4" ht="13.5">
      <c r="A1224" s="201"/>
      <c r="B1224" s="201"/>
      <c r="C1224" s="201"/>
      <c r="D1224" s="201"/>
    </row>
    <row r="1225" spans="1:4" ht="13.5">
      <c r="A1225" s="201"/>
      <c r="B1225" s="201"/>
      <c r="C1225" s="201"/>
      <c r="D1225" s="201"/>
    </row>
    <row r="1226" spans="1:4" ht="13.5">
      <c r="A1226" s="206"/>
      <c r="B1226" s="206"/>
      <c r="C1226" s="206"/>
      <c r="D1226" s="206"/>
    </row>
    <row r="1227" spans="1:4" ht="13.5">
      <c r="A1227" s="201"/>
      <c r="B1227" s="201"/>
      <c r="C1227" s="201"/>
      <c r="D1227" s="201"/>
    </row>
    <row r="1228" spans="1:4" ht="13.5">
      <c r="A1228" s="201"/>
      <c r="B1228" s="201"/>
      <c r="C1228" s="201"/>
      <c r="D1228" s="201"/>
    </row>
    <row r="1229" spans="1:4" ht="13.5">
      <c r="A1229" s="201"/>
      <c r="B1229" s="201"/>
      <c r="C1229" s="201"/>
      <c r="D1229" s="201"/>
    </row>
    <row r="1230" spans="1:4" ht="13.5">
      <c r="A1230" s="201"/>
      <c r="B1230" s="201"/>
      <c r="C1230" s="201"/>
      <c r="D1230" s="201"/>
    </row>
    <row r="1231" spans="1:4" ht="13.5">
      <c r="A1231" s="204"/>
      <c r="B1231" s="204"/>
      <c r="C1231" s="204"/>
      <c r="D1231" s="204"/>
    </row>
    <row r="1232" spans="1:4" ht="13.5">
      <c r="A1232" s="201"/>
      <c r="B1232" s="201"/>
      <c r="C1232" s="201"/>
      <c r="D1232" s="201"/>
    </row>
    <row r="1233" spans="1:4" ht="13.5">
      <c r="A1233" s="206"/>
      <c r="B1233" s="206"/>
      <c r="C1233" s="206"/>
      <c r="D1233" s="206"/>
    </row>
    <row r="1234" spans="1:4" ht="13.5">
      <c r="A1234" s="201"/>
      <c r="B1234" s="201"/>
      <c r="C1234" s="201"/>
      <c r="D1234" s="201"/>
    </row>
    <row r="1235" spans="1:4" ht="13.5">
      <c r="A1235" s="206"/>
      <c r="B1235" s="206"/>
      <c r="C1235" s="206"/>
      <c r="D1235" s="206"/>
    </row>
    <row r="1236" spans="1:4" ht="12.75" customHeight="1">
      <c r="A1236" s="201"/>
      <c r="B1236" s="201"/>
      <c r="C1236" s="201"/>
      <c r="D1236" s="201"/>
    </row>
    <row r="1237" spans="1:4" ht="13.5">
      <c r="A1237" s="201"/>
      <c r="B1237" s="201"/>
      <c r="C1237" s="201"/>
      <c r="D1237" s="201"/>
    </row>
    <row r="1238" spans="1:4" ht="13.5">
      <c r="A1238" s="201"/>
      <c r="B1238" s="201"/>
      <c r="C1238" s="201"/>
      <c r="D1238" s="201"/>
    </row>
    <row r="1239" spans="1:4" ht="13.5">
      <c r="A1239" s="201"/>
      <c r="B1239" s="201"/>
      <c r="C1239" s="201"/>
      <c r="D1239" s="201"/>
    </row>
    <row r="1240" spans="1:4" ht="13.5">
      <c r="A1240" s="201"/>
      <c r="B1240" s="201"/>
      <c r="C1240" s="201"/>
      <c r="D1240" s="201"/>
    </row>
    <row r="1241" spans="1:4" ht="13.5">
      <c r="A1241" s="201"/>
      <c r="B1241" s="201"/>
      <c r="C1241" s="201"/>
      <c r="D1241" s="201"/>
    </row>
    <row r="1242" spans="1:4" ht="13.5">
      <c r="A1242" s="207"/>
      <c r="B1242" s="207"/>
      <c r="C1242" s="207"/>
      <c r="D1242" s="207"/>
    </row>
    <row r="1243" spans="1:4" ht="13.5">
      <c r="A1243" s="201"/>
      <c r="B1243" s="201"/>
      <c r="C1243" s="201"/>
      <c r="D1243" s="201"/>
    </row>
    <row r="1244" spans="1:4" ht="13.5">
      <c r="A1244" s="201"/>
      <c r="B1244" s="201"/>
      <c r="C1244" s="201"/>
      <c r="D1244" s="201"/>
    </row>
    <row r="1245" spans="1:4" ht="13.5">
      <c r="A1245" s="201"/>
      <c r="B1245" s="201"/>
      <c r="C1245" s="201"/>
      <c r="D1245" s="201"/>
    </row>
    <row r="1246" spans="1:4" ht="13.5">
      <c r="A1246" s="201"/>
      <c r="B1246" s="201"/>
      <c r="C1246" s="201"/>
      <c r="D1246" s="201"/>
    </row>
    <row r="1247" spans="1:4" ht="13.5">
      <c r="A1247" s="201"/>
      <c r="B1247" s="201"/>
      <c r="C1247" s="201"/>
      <c r="D1247" s="201"/>
    </row>
    <row r="1248" spans="1:4" ht="13.5">
      <c r="A1248" s="201"/>
      <c r="B1248" s="201"/>
      <c r="C1248" s="201"/>
      <c r="D1248" s="201"/>
    </row>
    <row r="1249" spans="1:4" ht="13.5">
      <c r="A1249" s="201"/>
      <c r="B1249" s="201"/>
      <c r="C1249" s="201"/>
      <c r="D1249" s="201"/>
    </row>
    <row r="1250" spans="1:4" ht="13.5">
      <c r="A1250" s="201"/>
      <c r="B1250" s="201"/>
      <c r="C1250" s="201"/>
      <c r="D1250" s="201"/>
    </row>
    <row r="1251" spans="1:4" ht="13.5">
      <c r="A1251" s="201"/>
      <c r="B1251" s="201"/>
      <c r="C1251" s="201"/>
      <c r="D1251" s="201"/>
    </row>
    <row r="1252" spans="1:4" ht="13.5">
      <c r="A1252" s="201"/>
      <c r="B1252" s="201"/>
      <c r="C1252" s="201"/>
      <c r="D1252" s="201"/>
    </row>
    <row r="1253" spans="1:4" ht="13.5">
      <c r="A1253" s="201"/>
      <c r="B1253" s="201"/>
      <c r="C1253" s="201"/>
      <c r="D1253" s="201"/>
    </row>
    <row r="1254" spans="1:4" ht="13.5">
      <c r="A1254" s="201"/>
      <c r="B1254" s="201"/>
      <c r="C1254" s="201"/>
      <c r="D1254" s="201"/>
    </row>
    <row r="1255" spans="1:4" ht="13.5">
      <c r="A1255" s="201"/>
      <c r="B1255" s="201"/>
      <c r="C1255" s="201"/>
      <c r="D1255" s="201"/>
    </row>
    <row r="1256" spans="1:4" ht="13.5">
      <c r="A1256" s="201"/>
      <c r="B1256" s="201"/>
      <c r="C1256" s="201"/>
      <c r="D1256" s="201"/>
    </row>
    <row r="1257" spans="1:4" ht="13.5">
      <c r="A1257" s="201"/>
      <c r="B1257" s="201"/>
      <c r="C1257" s="201"/>
      <c r="D1257" s="201"/>
    </row>
    <row r="1258" spans="1:4" ht="13.5">
      <c r="A1258" s="201"/>
      <c r="B1258" s="201"/>
      <c r="C1258" s="201"/>
      <c r="D1258" s="201"/>
    </row>
    <row r="1259" spans="1:4" ht="12.75" customHeight="1">
      <c r="A1259" s="201"/>
      <c r="B1259" s="201"/>
      <c r="C1259" s="201"/>
      <c r="D1259" s="201"/>
    </row>
    <row r="1260" spans="1:4" ht="13.5">
      <c r="A1260" s="201"/>
      <c r="B1260" s="201"/>
      <c r="C1260" s="201"/>
      <c r="D1260" s="201"/>
    </row>
    <row r="1261" spans="1:4" ht="13.5">
      <c r="A1261" s="201"/>
      <c r="B1261" s="201"/>
      <c r="C1261" s="201"/>
      <c r="D1261" s="201"/>
    </row>
    <row r="1262" spans="1:4" ht="13.5">
      <c r="A1262" s="201"/>
      <c r="B1262" s="201"/>
      <c r="C1262" s="201"/>
      <c r="D1262" s="201"/>
    </row>
    <row r="1263" spans="1:4" ht="13.5">
      <c r="A1263" s="201"/>
      <c r="B1263" s="201"/>
      <c r="C1263" s="201"/>
      <c r="D1263" s="201"/>
    </row>
    <row r="1264" spans="1:4" ht="13.5">
      <c r="A1264" s="201"/>
      <c r="B1264" s="201"/>
      <c r="C1264" s="201"/>
      <c r="D1264" s="201"/>
    </row>
    <row r="1265" spans="1:4" ht="13.5">
      <c r="A1265" s="201"/>
      <c r="B1265" s="201"/>
      <c r="C1265" s="201"/>
      <c r="D1265" s="201"/>
    </row>
    <row r="1266" spans="1:4" ht="13.5">
      <c r="A1266" s="201"/>
      <c r="B1266" s="201"/>
      <c r="C1266" s="201"/>
      <c r="D1266" s="201"/>
    </row>
    <row r="1267" spans="1:4" ht="13.5">
      <c r="A1267" s="201"/>
      <c r="B1267" s="201"/>
      <c r="C1267" s="201"/>
      <c r="D1267" s="201"/>
    </row>
    <row r="1268" spans="1:4" ht="13.5">
      <c r="A1268" s="201"/>
      <c r="B1268" s="201"/>
      <c r="C1268" s="201"/>
      <c r="D1268" s="201"/>
    </row>
    <row r="1269" spans="1:4" ht="13.5">
      <c r="A1269" s="201"/>
      <c r="B1269" s="201"/>
      <c r="C1269" s="201"/>
      <c r="D1269" s="201"/>
    </row>
    <row r="1270" spans="1:4" ht="13.5">
      <c r="A1270" s="201"/>
      <c r="B1270" s="201"/>
      <c r="C1270" s="201"/>
      <c r="D1270" s="201"/>
    </row>
    <row r="1271" spans="1:4" ht="13.5">
      <c r="A1271" s="204"/>
      <c r="B1271" s="204"/>
      <c r="C1271" s="204"/>
      <c r="D1271" s="204"/>
    </row>
    <row r="1272" spans="1:4" ht="13.5">
      <c r="A1272" s="201"/>
      <c r="B1272" s="201"/>
      <c r="C1272" s="201"/>
      <c r="D1272" s="201"/>
    </row>
    <row r="1273" spans="1:4" ht="13.5">
      <c r="A1273" s="201"/>
      <c r="B1273" s="201"/>
      <c r="C1273" s="201"/>
      <c r="D1273" s="201"/>
    </row>
    <row r="1274" spans="1:4" ht="13.5">
      <c r="A1274" s="204"/>
      <c r="B1274" s="204"/>
      <c r="C1274" s="204"/>
      <c r="D1274" s="204"/>
    </row>
    <row r="1275" spans="1:4" ht="13.5">
      <c r="A1275" s="201"/>
      <c r="B1275" s="201"/>
      <c r="C1275" s="201"/>
      <c r="D1275" s="201"/>
    </row>
    <row r="1276" spans="1:4" ht="13.5">
      <c r="A1276" s="201"/>
      <c r="B1276" s="201"/>
      <c r="C1276" s="201"/>
      <c r="D1276" s="201"/>
    </row>
    <row r="1277" spans="1:4" ht="13.5">
      <c r="A1277" s="204"/>
      <c r="B1277" s="204"/>
      <c r="C1277" s="204"/>
      <c r="D1277" s="204"/>
    </row>
    <row r="1278" spans="1:4" ht="13.5">
      <c r="A1278" s="201"/>
      <c r="B1278" s="201"/>
      <c r="C1278" s="201"/>
      <c r="D1278" s="201"/>
    </row>
    <row r="1279" spans="1:4" ht="13.5">
      <c r="A1279" s="201"/>
      <c r="B1279" s="201"/>
      <c r="C1279" s="201"/>
      <c r="D1279" s="201"/>
    </row>
    <row r="1280" spans="1:4" ht="13.5">
      <c r="A1280" s="201"/>
      <c r="B1280" s="201"/>
      <c r="C1280" s="201"/>
      <c r="D1280" s="201"/>
    </row>
    <row r="1281" spans="1:4" ht="13.5">
      <c r="A1281" s="201"/>
      <c r="B1281" s="201"/>
      <c r="C1281" s="201"/>
      <c r="D1281" s="201"/>
    </row>
    <row r="1282" spans="1:4" ht="13.5">
      <c r="A1282" s="201"/>
      <c r="B1282" s="201"/>
      <c r="C1282" s="201"/>
      <c r="D1282" s="201"/>
    </row>
    <row r="1283" spans="1:4" ht="13.5">
      <c r="A1283" s="201"/>
      <c r="B1283" s="201"/>
      <c r="C1283" s="201"/>
      <c r="D1283" s="201"/>
    </row>
    <row r="1284" spans="1:4" ht="13.5">
      <c r="A1284" s="204"/>
      <c r="B1284" s="204"/>
      <c r="C1284" s="204"/>
      <c r="D1284" s="204"/>
    </row>
    <row r="1285" spans="1:4" ht="13.5">
      <c r="A1285" s="201"/>
      <c r="B1285" s="201"/>
      <c r="C1285" s="201"/>
      <c r="D1285" s="201"/>
    </row>
    <row r="1286" spans="1:4" ht="13.5">
      <c r="A1286" s="201"/>
      <c r="B1286" s="201"/>
      <c r="C1286" s="201"/>
      <c r="D1286" s="201"/>
    </row>
    <row r="1287" spans="1:4" ht="13.5">
      <c r="A1287" s="201"/>
      <c r="B1287" s="201"/>
      <c r="C1287" s="201"/>
      <c r="D1287" s="201"/>
    </row>
    <row r="1288" spans="1:4" ht="13.5">
      <c r="A1288" s="204"/>
      <c r="B1288" s="204"/>
      <c r="C1288" s="204"/>
      <c r="D1288" s="204"/>
    </row>
    <row r="1289" spans="1:4" ht="13.5">
      <c r="A1289" s="201"/>
      <c r="B1289" s="201"/>
      <c r="C1289" s="201"/>
      <c r="D1289" s="201"/>
    </row>
    <row r="1290" spans="1:4" ht="13.5">
      <c r="A1290" s="201"/>
      <c r="B1290" s="201"/>
      <c r="C1290" s="201"/>
      <c r="D1290" s="201"/>
    </row>
    <row r="1291" spans="1:4" ht="13.5">
      <c r="A1291" s="204"/>
      <c r="B1291" s="204"/>
      <c r="C1291" s="204"/>
      <c r="D1291" s="204"/>
    </row>
    <row r="1292" spans="1:4" ht="13.5">
      <c r="A1292" s="201"/>
      <c r="B1292" s="201"/>
      <c r="C1292" s="201"/>
      <c r="D1292" s="201"/>
    </row>
    <row r="1293" spans="1:4" ht="13.5">
      <c r="A1293" s="201"/>
      <c r="B1293" s="201"/>
      <c r="C1293" s="201"/>
      <c r="D1293" s="201"/>
    </row>
    <row r="1294" spans="1:4" ht="13.5">
      <c r="A1294" s="204"/>
      <c r="B1294" s="204"/>
      <c r="C1294" s="204"/>
      <c r="D1294" s="204"/>
    </row>
    <row r="1295" spans="1:4" ht="13.5">
      <c r="A1295" s="201"/>
      <c r="B1295" s="201"/>
      <c r="C1295" s="201"/>
      <c r="D1295" s="201"/>
    </row>
    <row r="1296" spans="1:4" ht="13.5">
      <c r="A1296" s="201"/>
      <c r="B1296" s="201"/>
      <c r="C1296" s="201"/>
      <c r="D1296" s="201"/>
    </row>
    <row r="1297" spans="1:4" ht="13.5">
      <c r="A1297" s="204"/>
      <c r="B1297" s="204"/>
      <c r="C1297" s="204"/>
      <c r="D1297" s="204"/>
    </row>
    <row r="1298" spans="1:4" ht="13.5">
      <c r="A1298" s="201"/>
      <c r="B1298" s="201"/>
      <c r="C1298" s="201"/>
      <c r="D1298" s="201"/>
    </row>
    <row r="1299" spans="1:4" ht="13.5">
      <c r="A1299" s="208"/>
      <c r="B1299" s="208"/>
      <c r="C1299" s="208"/>
      <c r="D1299" s="208"/>
    </row>
    <row r="1300" spans="1:4" ht="13.5">
      <c r="A1300" s="201"/>
      <c r="B1300" s="201"/>
      <c r="C1300" s="201"/>
      <c r="D1300" s="201"/>
    </row>
    <row r="1301" spans="1:4" ht="13.5">
      <c r="A1301" s="209"/>
      <c r="B1301" s="209"/>
      <c r="C1301" s="209"/>
      <c r="D1301" s="209"/>
    </row>
    <row r="1302" spans="1:4" ht="13.5">
      <c r="A1302" s="206"/>
      <c r="B1302" s="206"/>
      <c r="C1302" s="206"/>
      <c r="D1302" s="206"/>
    </row>
    <row r="1303" spans="1:4" ht="13.5">
      <c r="A1303" s="201"/>
      <c r="B1303" s="201"/>
      <c r="C1303" s="201"/>
      <c r="D1303" s="201"/>
    </row>
    <row r="1304" spans="1:4" ht="13.5">
      <c r="A1304" s="206"/>
      <c r="B1304" s="206"/>
      <c r="C1304" s="206"/>
      <c r="D1304" s="206"/>
    </row>
    <row r="1305" spans="1:4" ht="13.5">
      <c r="A1305" s="201"/>
      <c r="B1305" s="201"/>
      <c r="C1305" s="201"/>
      <c r="D1305" s="201"/>
    </row>
    <row r="1306" spans="1:4" ht="13.5">
      <c r="A1306" s="206"/>
      <c r="B1306" s="206"/>
      <c r="C1306" s="206"/>
      <c r="D1306" s="206"/>
    </row>
    <row r="1307" spans="1:4" ht="13.5">
      <c r="A1307" s="206"/>
      <c r="B1307" s="206"/>
      <c r="C1307" s="206"/>
      <c r="D1307" s="206"/>
    </row>
    <row r="1308" spans="1:4" ht="13.5">
      <c r="A1308" s="206"/>
      <c r="B1308" s="206"/>
      <c r="C1308" s="206"/>
      <c r="D1308" s="206"/>
    </row>
    <row r="1309" spans="1:4" ht="13.5">
      <c r="A1309" s="206"/>
      <c r="B1309" s="206"/>
      <c r="C1309" s="206"/>
      <c r="D1309" s="206"/>
    </row>
    <row r="1310" spans="1:4" ht="13.5">
      <c r="A1310" s="201"/>
      <c r="B1310" s="201"/>
      <c r="C1310" s="201"/>
      <c r="D1310" s="201"/>
    </row>
    <row r="1311" spans="1:4" ht="13.5">
      <c r="A1311" s="201"/>
      <c r="B1311" s="201"/>
      <c r="C1311" s="201"/>
      <c r="D1311" s="201"/>
    </row>
    <row r="1312" spans="1:4" ht="13.5">
      <c r="A1312" s="201"/>
      <c r="B1312" s="201"/>
      <c r="C1312" s="201"/>
      <c r="D1312" s="201"/>
    </row>
    <row r="1313" spans="1:4" ht="13.5">
      <c r="A1313" s="207"/>
      <c r="B1313" s="207"/>
      <c r="C1313" s="207"/>
      <c r="D1313" s="207"/>
    </row>
    <row r="1314" spans="1:4" ht="13.5">
      <c r="A1314" s="206"/>
      <c r="B1314" s="206"/>
      <c r="C1314" s="206"/>
      <c r="D1314" s="206"/>
    </row>
    <row r="1315" spans="1:4" ht="13.5">
      <c r="A1315" s="201"/>
      <c r="B1315" s="201"/>
      <c r="C1315" s="201"/>
      <c r="D1315" s="201"/>
    </row>
    <row r="1316" spans="1:4" ht="13.5">
      <c r="A1316" s="206"/>
      <c r="B1316" s="206"/>
      <c r="C1316" s="206"/>
      <c r="D1316" s="206"/>
    </row>
    <row r="1317" spans="1:4" ht="13.5">
      <c r="A1317" s="206"/>
      <c r="B1317" s="206"/>
      <c r="C1317" s="206"/>
      <c r="D1317" s="206"/>
    </row>
    <row r="1318" spans="1:4" ht="13.5">
      <c r="A1318" s="206"/>
      <c r="B1318" s="206"/>
      <c r="C1318" s="206"/>
      <c r="D1318" s="206"/>
    </row>
    <row r="1319" spans="1:4" ht="13.5">
      <c r="A1319" s="206"/>
      <c r="B1319" s="206"/>
      <c r="C1319" s="206"/>
      <c r="D1319" s="206"/>
    </row>
    <row r="1320" spans="1:4" ht="13.5">
      <c r="A1320" s="201"/>
      <c r="B1320" s="201"/>
      <c r="C1320" s="201"/>
      <c r="D1320" s="201"/>
    </row>
    <row r="1321" spans="1:4" ht="13.5">
      <c r="A1321" s="206"/>
      <c r="B1321" s="206"/>
      <c r="C1321" s="206"/>
      <c r="D1321" s="206"/>
    </row>
    <row r="1322" spans="1:4" ht="13.5">
      <c r="A1322" s="201"/>
      <c r="B1322" s="201"/>
      <c r="C1322" s="201"/>
      <c r="D1322" s="201"/>
    </row>
    <row r="1323" spans="1:4" ht="13.5">
      <c r="A1323" s="201"/>
      <c r="B1323" s="201"/>
      <c r="C1323" s="201"/>
      <c r="D1323" s="201"/>
    </row>
    <row r="1324" spans="1:4" ht="13.5">
      <c r="A1324" s="206"/>
      <c r="B1324" s="206"/>
      <c r="C1324" s="206"/>
      <c r="D1324" s="206"/>
    </row>
    <row r="1325" spans="1:4" ht="13.5">
      <c r="A1325" s="201"/>
      <c r="B1325" s="201"/>
      <c r="C1325" s="201"/>
      <c r="D1325" s="201"/>
    </row>
    <row r="1326" spans="1:4" ht="13.5">
      <c r="A1326" s="206"/>
      <c r="B1326" s="206"/>
      <c r="C1326" s="206"/>
      <c r="D1326" s="206"/>
    </row>
    <row r="1327" spans="1:4" ht="13.5">
      <c r="A1327" s="201"/>
      <c r="B1327" s="201"/>
      <c r="C1327" s="201"/>
      <c r="D1327" s="201"/>
    </row>
    <row r="1328" spans="1:4" ht="13.5">
      <c r="A1328" s="201"/>
      <c r="B1328" s="201"/>
      <c r="C1328" s="201"/>
      <c r="D1328" s="201"/>
    </row>
    <row r="1329" spans="1:4" ht="13.5">
      <c r="A1329" s="207"/>
      <c r="B1329" s="207"/>
      <c r="C1329" s="207"/>
      <c r="D1329" s="207"/>
    </row>
    <row r="1330" spans="1:4" ht="13.5">
      <c r="A1330" s="206"/>
      <c r="B1330" s="206"/>
      <c r="C1330" s="206"/>
      <c r="D1330" s="206"/>
    </row>
    <row r="1331" spans="1:4" ht="13.5">
      <c r="A1331" s="206"/>
      <c r="B1331" s="206"/>
      <c r="C1331" s="206"/>
      <c r="D1331" s="206"/>
    </row>
    <row r="1332" spans="1:4" ht="13.5">
      <c r="A1332" s="201"/>
      <c r="B1332" s="201"/>
      <c r="C1332" s="201"/>
      <c r="D1332" s="201"/>
    </row>
    <row r="1333" spans="1:4" ht="13.5">
      <c r="A1333" s="201"/>
      <c r="B1333" s="201"/>
      <c r="C1333" s="201"/>
      <c r="D1333" s="201"/>
    </row>
    <row r="1334" spans="1:4" ht="13.5">
      <c r="A1334" s="201"/>
      <c r="B1334" s="201"/>
      <c r="C1334" s="201"/>
      <c r="D1334" s="201"/>
    </row>
    <row r="1335" spans="1:4" ht="13.5">
      <c r="A1335" s="201"/>
      <c r="B1335" s="201"/>
      <c r="C1335" s="201"/>
      <c r="D1335" s="201"/>
    </row>
    <row r="1336" spans="1:4" ht="13.5">
      <c r="A1336" s="201"/>
      <c r="B1336" s="201"/>
      <c r="C1336" s="201"/>
      <c r="D1336" s="201"/>
    </row>
    <row r="1337" spans="1:4" ht="13.5">
      <c r="A1337" s="201"/>
      <c r="B1337" s="201"/>
      <c r="C1337" s="201"/>
      <c r="D1337" s="201"/>
    </row>
    <row r="1338" spans="1:4" ht="13.5">
      <c r="A1338" s="201"/>
      <c r="B1338" s="201"/>
      <c r="C1338" s="201"/>
      <c r="D1338" s="201"/>
    </row>
    <row r="1339" spans="1:4" ht="13.5">
      <c r="A1339" s="201"/>
      <c r="B1339" s="201"/>
      <c r="C1339" s="201"/>
      <c r="D1339" s="201"/>
    </row>
    <row r="1340" spans="1:4" ht="13.5">
      <c r="A1340" s="201"/>
      <c r="B1340" s="201"/>
      <c r="C1340" s="201"/>
      <c r="D1340" s="201"/>
    </row>
    <row r="1341" spans="1:4" ht="13.5">
      <c r="A1341" s="201"/>
      <c r="B1341" s="201"/>
      <c r="C1341" s="201"/>
      <c r="D1341" s="201"/>
    </row>
    <row r="1342" spans="1:4" ht="13.5">
      <c r="A1342" s="201"/>
      <c r="B1342" s="201"/>
      <c r="C1342" s="201"/>
      <c r="D1342" s="201"/>
    </row>
    <row r="1343" spans="1:4" ht="13.5">
      <c r="A1343" s="206"/>
      <c r="B1343" s="206"/>
      <c r="C1343" s="206"/>
      <c r="D1343" s="206"/>
    </row>
    <row r="1344" spans="1:4" ht="13.5">
      <c r="A1344" s="201"/>
      <c r="B1344" s="201"/>
      <c r="C1344" s="201"/>
      <c r="D1344" s="201"/>
    </row>
    <row r="1345" spans="1:4" ht="13.5">
      <c r="A1345" s="201"/>
      <c r="B1345" s="201"/>
      <c r="C1345" s="201"/>
      <c r="D1345" s="201"/>
    </row>
    <row r="1346" spans="1:4" ht="13.5">
      <c r="A1346" s="201"/>
      <c r="B1346" s="201"/>
      <c r="C1346" s="201"/>
      <c r="D1346" s="201"/>
    </row>
    <row r="1347" spans="1:4" ht="13.5">
      <c r="A1347" s="201"/>
      <c r="B1347" s="201"/>
      <c r="C1347" s="201"/>
      <c r="D1347" s="201"/>
    </row>
    <row r="1348" spans="1:4" ht="13.5">
      <c r="A1348" s="201"/>
      <c r="B1348" s="201"/>
      <c r="C1348" s="201"/>
      <c r="D1348" s="201"/>
    </row>
    <row r="1349" spans="1:4" ht="13.5">
      <c r="A1349" s="201"/>
      <c r="B1349" s="201"/>
      <c r="C1349" s="201"/>
      <c r="D1349" s="201"/>
    </row>
    <row r="1350" spans="1:4" ht="13.5">
      <c r="A1350" s="201"/>
      <c r="B1350" s="201"/>
      <c r="C1350" s="201"/>
      <c r="D1350" s="201"/>
    </row>
    <row r="1351" spans="1:4" ht="13.5">
      <c r="A1351" s="201"/>
      <c r="B1351" s="201"/>
      <c r="C1351" s="201"/>
      <c r="D1351" s="201"/>
    </row>
    <row r="1352" spans="1:4" ht="13.5">
      <c r="A1352" s="201"/>
      <c r="B1352" s="201"/>
      <c r="C1352" s="201"/>
      <c r="D1352" s="201"/>
    </row>
    <row r="1353" spans="1:4" ht="13.5">
      <c r="A1353" s="201"/>
      <c r="B1353" s="201"/>
      <c r="C1353" s="201"/>
      <c r="D1353" s="201"/>
    </row>
    <row r="1354" spans="1:4" ht="13.5">
      <c r="A1354" s="206"/>
      <c r="B1354" s="206"/>
      <c r="C1354" s="206"/>
      <c r="D1354" s="206"/>
    </row>
    <row r="1355" spans="1:4" ht="13.5">
      <c r="A1355" s="206"/>
      <c r="B1355" s="206"/>
      <c r="C1355" s="206"/>
      <c r="D1355" s="206"/>
    </row>
    <row r="1356" spans="1:4" ht="13.5">
      <c r="A1356" s="201"/>
      <c r="B1356" s="201"/>
      <c r="C1356" s="201"/>
      <c r="D1356" s="201"/>
    </row>
    <row r="1357" spans="1:4" ht="13.5">
      <c r="A1357" s="210"/>
      <c r="B1357" s="210"/>
      <c r="C1357" s="210"/>
      <c r="D1357" s="210"/>
    </row>
    <row r="1358" spans="1:4" ht="13.5">
      <c r="A1358" s="201"/>
      <c r="B1358" s="201"/>
      <c r="C1358" s="201"/>
      <c r="D1358" s="201"/>
    </row>
    <row r="1359" spans="1:4" ht="13.5">
      <c r="A1359" s="208"/>
      <c r="B1359" s="208"/>
      <c r="C1359" s="208"/>
      <c r="D1359" s="208"/>
    </row>
    <row r="1360" spans="1:4" ht="12.75" customHeight="1">
      <c r="A1360" s="201"/>
      <c r="B1360" s="201"/>
      <c r="C1360" s="201"/>
      <c r="D1360" s="201"/>
    </row>
    <row r="1361" spans="1:4" ht="12.75" customHeight="1">
      <c r="A1361" s="209"/>
      <c r="B1361" s="209"/>
      <c r="C1361" s="209"/>
      <c r="D1361" s="209"/>
    </row>
    <row r="1362" spans="1:4" ht="12.75" customHeight="1">
      <c r="A1362" s="209"/>
      <c r="B1362" s="209"/>
      <c r="C1362" s="209"/>
      <c r="D1362" s="209"/>
    </row>
    <row r="1363" spans="1:4" ht="12.75" customHeight="1">
      <c r="A1363" s="201"/>
      <c r="B1363" s="201"/>
      <c r="C1363" s="201"/>
      <c r="D1363" s="201"/>
    </row>
    <row r="1364" spans="1:4" ht="12.75" customHeight="1">
      <c r="A1364" s="201"/>
      <c r="B1364" s="201"/>
      <c r="C1364" s="201"/>
      <c r="D1364" s="201"/>
    </row>
    <row r="1365" spans="1:4" ht="12.75" customHeight="1">
      <c r="A1365" s="201"/>
      <c r="B1365" s="201"/>
      <c r="C1365" s="201"/>
      <c r="D1365" s="201"/>
    </row>
    <row r="1366" spans="1:4" ht="12.75" customHeight="1">
      <c r="A1366" s="207"/>
      <c r="B1366" s="207"/>
      <c r="C1366" s="207"/>
      <c r="D1366" s="207"/>
    </row>
    <row r="1367" spans="1:4" ht="12.75" customHeight="1">
      <c r="A1367" s="206"/>
      <c r="B1367" s="206"/>
      <c r="C1367" s="206"/>
      <c r="D1367" s="206"/>
    </row>
    <row r="1368" spans="1:4" ht="12.75" customHeight="1">
      <c r="A1368" s="201"/>
      <c r="B1368" s="201"/>
      <c r="C1368" s="201"/>
      <c r="D1368" s="201"/>
    </row>
    <row r="1369" spans="1:4" ht="13.5">
      <c r="A1369" s="201"/>
      <c r="B1369" s="201"/>
      <c r="C1369" s="201"/>
      <c r="D1369" s="201"/>
    </row>
    <row r="1370" spans="1:4" ht="13.5">
      <c r="A1370" s="201"/>
      <c r="B1370" s="201"/>
      <c r="C1370" s="201"/>
      <c r="D1370" s="201"/>
    </row>
    <row r="1371" spans="1:4" ht="13.5">
      <c r="A1371" s="201"/>
      <c r="B1371" s="201"/>
      <c r="C1371" s="201"/>
      <c r="D1371" s="201"/>
    </row>
    <row r="1372" spans="1:4" ht="13.5">
      <c r="A1372" s="208"/>
      <c r="B1372" s="208"/>
      <c r="C1372" s="208"/>
      <c r="D1372" s="208"/>
    </row>
    <row r="1373" spans="1:4" ht="13.5">
      <c r="A1373" s="201"/>
      <c r="B1373" s="201"/>
      <c r="C1373" s="201"/>
      <c r="D1373" s="201"/>
    </row>
    <row r="1374" spans="1:4" ht="13.5">
      <c r="A1374" s="211"/>
      <c r="B1374" s="211"/>
      <c r="C1374" s="211"/>
      <c r="D1374" s="211"/>
    </row>
    <row r="1375" spans="1:4" ht="12.75" customHeight="1">
      <c r="A1375" s="207"/>
      <c r="B1375" s="207"/>
      <c r="C1375" s="207"/>
      <c r="D1375" s="207"/>
    </row>
    <row r="1376" spans="1:4" ht="12.75" customHeight="1">
      <c r="A1376" s="207"/>
      <c r="B1376" s="207"/>
      <c r="C1376" s="207"/>
      <c r="D1376" s="207"/>
    </row>
    <row r="1377" spans="1:4" ht="12.75" customHeight="1">
      <c r="A1377" s="206"/>
      <c r="B1377" s="206"/>
      <c r="C1377" s="206"/>
      <c r="D1377" s="206"/>
    </row>
    <row r="1378" spans="1:4" ht="12.75" customHeight="1">
      <c r="A1378" s="201"/>
      <c r="B1378" s="201"/>
      <c r="C1378" s="201"/>
      <c r="D1378" s="201"/>
    </row>
    <row r="1379" spans="1:4" ht="12.75" customHeight="1">
      <c r="A1379" s="201"/>
      <c r="B1379" s="201"/>
      <c r="C1379" s="201"/>
      <c r="D1379" s="201"/>
    </row>
    <row r="1380" spans="1:4" ht="12.75" customHeight="1">
      <c r="A1380" s="201"/>
      <c r="B1380" s="201"/>
      <c r="C1380" s="201"/>
      <c r="D1380" s="201"/>
    </row>
    <row r="1381" spans="1:4" ht="12.75" customHeight="1">
      <c r="A1381" s="201"/>
      <c r="B1381" s="201"/>
      <c r="C1381" s="201"/>
      <c r="D1381" s="201"/>
    </row>
    <row r="1382" spans="1:4" ht="12.75" customHeight="1">
      <c r="A1382" s="201"/>
      <c r="B1382" s="201"/>
      <c r="C1382" s="201"/>
      <c r="D1382" s="201"/>
    </row>
    <row r="1383" spans="1:4" ht="13.5">
      <c r="A1383" s="201"/>
      <c r="B1383" s="201"/>
      <c r="C1383" s="201"/>
      <c r="D1383" s="201"/>
    </row>
    <row r="1384" spans="1:4" ht="13.5">
      <c r="A1384" s="209"/>
      <c r="B1384" s="209"/>
      <c r="C1384" s="209"/>
      <c r="D1384" s="209"/>
    </row>
    <row r="1385" spans="1:4" ht="12.75" customHeight="1">
      <c r="A1385" s="201"/>
      <c r="B1385" s="201"/>
      <c r="C1385" s="201"/>
      <c r="D1385" s="201"/>
    </row>
    <row r="1386" spans="1:4" ht="13.5">
      <c r="A1386" s="211"/>
      <c r="B1386" s="211"/>
      <c r="C1386" s="211"/>
      <c r="D1386" s="211"/>
    </row>
    <row r="1387" spans="1:4">
      <c r="A1387" s="92"/>
      <c r="B1387" s="92"/>
      <c r="C1387" s="92"/>
      <c r="D1387" s="92"/>
    </row>
    <row r="1388" spans="1:4" ht="13.5">
      <c r="A1388" s="212"/>
      <c r="B1388" s="212"/>
      <c r="C1388" s="212"/>
      <c r="D1388" s="212"/>
    </row>
    <row r="1389" spans="1:4" ht="13.5">
      <c r="A1389" s="198"/>
      <c r="B1389" s="198"/>
      <c r="C1389" s="198"/>
      <c r="D1389" s="198"/>
    </row>
    <row r="1390" spans="1:4" ht="13.5">
      <c r="A1390" s="198"/>
      <c r="B1390" s="198"/>
      <c r="C1390" s="198"/>
      <c r="D1390" s="198"/>
    </row>
    <row r="1391" spans="1:4">
      <c r="A1391" s="213"/>
      <c r="B1391" s="213"/>
      <c r="C1391" s="213"/>
      <c r="D1391" s="213"/>
    </row>
    <row r="1392" spans="1:4">
      <c r="A1392" s="213"/>
      <c r="B1392" s="213"/>
      <c r="C1392" s="213"/>
      <c r="D1392" s="213"/>
    </row>
    <row r="1393" spans="1:4">
      <c r="A1393" s="92"/>
      <c r="B1393" s="92"/>
      <c r="C1393" s="92"/>
      <c r="D1393" s="92"/>
    </row>
    <row r="1394" spans="1:4">
      <c r="A1394" s="92"/>
      <c r="B1394" s="92"/>
      <c r="C1394" s="92"/>
      <c r="D1394" s="92"/>
    </row>
    <row r="1395" spans="1:4">
      <c r="A1395" s="92"/>
      <c r="B1395" s="92"/>
      <c r="C1395" s="92"/>
      <c r="D1395" s="92"/>
    </row>
    <row r="1396" spans="1:4">
      <c r="A1396" s="92"/>
      <c r="B1396" s="92"/>
      <c r="C1396" s="92"/>
      <c r="D1396" s="92"/>
    </row>
    <row r="1397" spans="1:4">
      <c r="A1397" s="92"/>
      <c r="B1397" s="92"/>
      <c r="C1397" s="92"/>
      <c r="D1397" s="92"/>
    </row>
    <row r="1398" spans="1:4">
      <c r="A1398" s="214"/>
      <c r="B1398" s="214"/>
      <c r="C1398" s="214"/>
      <c r="D1398" s="214"/>
    </row>
    <row r="1399" spans="1:4">
      <c r="A1399" s="214"/>
      <c r="B1399" s="214"/>
      <c r="C1399" s="214"/>
      <c r="D1399" s="214"/>
    </row>
    <row r="1400" spans="1:4">
      <c r="A1400" s="214"/>
      <c r="B1400" s="214"/>
      <c r="C1400" s="214"/>
      <c r="D1400" s="214"/>
    </row>
    <row r="1401" spans="1:4">
      <c r="A1401" s="214"/>
      <c r="B1401" s="214"/>
      <c r="C1401" s="214"/>
      <c r="D1401" s="214"/>
    </row>
    <row r="1402" spans="1:4">
      <c r="A1402" s="214"/>
      <c r="B1402" s="214"/>
      <c r="C1402" s="214"/>
      <c r="D1402" s="214"/>
    </row>
    <row r="1403" spans="1:4">
      <c r="A1403" s="214"/>
      <c r="B1403" s="214"/>
      <c r="C1403" s="214"/>
      <c r="D1403" s="214"/>
    </row>
    <row r="1404" spans="1:4">
      <c r="A1404" s="214"/>
      <c r="B1404" s="214"/>
      <c r="C1404" s="214"/>
      <c r="D1404" s="214"/>
    </row>
    <row r="1407" spans="1:4">
      <c r="A1407" s="214"/>
      <c r="B1407" s="214"/>
      <c r="C1407" s="214"/>
      <c r="D1407" s="214"/>
    </row>
    <row r="1408" spans="1:4">
      <c r="A1408" s="92"/>
      <c r="B1408" s="92"/>
      <c r="C1408" s="92"/>
      <c r="D1408" s="92"/>
    </row>
  </sheetData>
  <mergeCells count="9">
    <mergeCell ref="A5:A7"/>
    <mergeCell ref="B5:D5"/>
    <mergeCell ref="E5:P5"/>
    <mergeCell ref="Q5:Q7"/>
    <mergeCell ref="C6:C7"/>
    <mergeCell ref="D6:D7"/>
    <mergeCell ref="E6:H6"/>
    <mergeCell ref="I6:L6"/>
    <mergeCell ref="M6:P6"/>
  </mergeCells>
  <printOptions horizontalCentered="1"/>
  <pageMargins left="0.28000000000000003" right="0" top="0.43" bottom="0.38" header="0.25" footer="0.2"/>
  <pageSetup paperSize="9" scale="73" orientation="landscape" r:id="rId1"/>
  <headerFooter alignWithMargins="0">
    <oddFooter>&amp;C&amp;7Page &amp;P of &amp;N</oddFooter>
  </headerFooter>
  <rowBreaks count="33" manualBreakCount="33">
    <brk id="53" max="16" man="1"/>
    <brk id="89" max="16" man="1"/>
    <brk id="134" max="16" man="1"/>
    <brk id="152" max="16" man="1"/>
    <brk id="197" max="16" man="1"/>
    <brk id="215" max="16" man="1"/>
    <brk id="260" max="16" man="1"/>
    <brk id="269" max="16" man="1"/>
    <brk id="314" max="16" man="1"/>
    <brk id="359" max="16" man="1"/>
    <brk id="386" max="16" man="1"/>
    <brk id="431" max="16" man="1"/>
    <brk id="440" max="16" man="1"/>
    <brk id="485" max="16" man="1"/>
    <brk id="503" max="16" man="1"/>
    <brk id="548" max="16" man="1"/>
    <brk id="593" max="16" man="1"/>
    <brk id="638" max="16" man="1"/>
    <brk id="683" max="16" man="1"/>
    <brk id="701" max="16" man="1"/>
    <brk id="746" max="16" man="1"/>
    <brk id="755" max="16" man="1"/>
    <brk id="800" max="16" man="1"/>
    <brk id="845" max="16" man="1"/>
    <brk id="854" max="16" man="1"/>
    <brk id="899" max="16" man="1"/>
    <brk id="944" max="16" man="1"/>
    <brk id="989" max="16" man="1"/>
    <brk id="1016" max="16" man="1"/>
    <brk id="1061" max="16" man="1"/>
    <brk id="1106" max="16" man="1"/>
    <brk id="1124" max="16" man="1"/>
    <brk id="1170" max="16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1" sqref="J21"/>
    </sheetView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18"/>
  <sheetViews>
    <sheetView showRuler="0" zoomScaleSheetLayoutView="100" workbookViewId="0">
      <pane xSplit="1" ySplit="8" topLeftCell="B9" activePane="bottomRight" state="frozen"/>
      <selection activeCell="A1459" sqref="A1459"/>
      <selection pane="topRight" activeCell="A1459" sqref="A1459"/>
      <selection pane="bottomLeft" activeCell="A1459" sqref="A1459"/>
      <selection pane="bottomRight" activeCell="C33" sqref="C33"/>
    </sheetView>
  </sheetViews>
  <sheetFormatPr defaultRowHeight="12.75"/>
  <cols>
    <col min="1" max="1" width="32.57031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28</v>
      </c>
      <c r="B10" s="17">
        <f t="shared" ref="B10:K10" si="0">+B11+B15</f>
        <v>6806058</v>
      </c>
      <c r="C10" s="17">
        <f t="shared" si="0"/>
        <v>10330604</v>
      </c>
      <c r="D10" s="17">
        <f t="shared" si="0"/>
        <v>0</v>
      </c>
      <c r="E10" s="17">
        <f t="shared" si="0"/>
        <v>2513382</v>
      </c>
      <c r="F10" s="17">
        <f t="shared" si="0"/>
        <v>19650044</v>
      </c>
      <c r="G10" s="17">
        <f t="shared" si="0"/>
        <v>6148110</v>
      </c>
      <c r="H10" s="17">
        <f t="shared" si="0"/>
        <v>5105394</v>
      </c>
      <c r="I10" s="17">
        <f t="shared" si="0"/>
        <v>0</v>
      </c>
      <c r="J10" s="17">
        <f t="shared" si="0"/>
        <v>508628</v>
      </c>
      <c r="K10" s="17">
        <f t="shared" si="0"/>
        <v>11762132</v>
      </c>
      <c r="L10" s="17">
        <f>+L11+L15</f>
        <v>657948</v>
      </c>
      <c r="M10" s="17">
        <f>+M11+M15</f>
        <v>5225210</v>
      </c>
      <c r="N10" s="17"/>
      <c r="O10" s="17">
        <f>+O11+O15</f>
        <v>2004754</v>
      </c>
      <c r="P10" s="17">
        <f>+P11+P15</f>
        <v>7887912</v>
      </c>
      <c r="Q10" s="18">
        <f>+K10/F10</f>
        <v>0.59858044083768969</v>
      </c>
    </row>
    <row r="11" spans="1:18" ht="12.75" customHeight="1">
      <c r="A11" s="41" t="s">
        <v>15</v>
      </c>
      <c r="B11" s="20">
        <f t="shared" ref="B11:K11" si="1">+B12+B13+B14</f>
        <v>6806058</v>
      </c>
      <c r="C11" s="20">
        <f t="shared" si="1"/>
        <v>7969930</v>
      </c>
      <c r="D11" s="20">
        <f t="shared" si="1"/>
        <v>0</v>
      </c>
      <c r="E11" s="20">
        <f t="shared" si="1"/>
        <v>1800535</v>
      </c>
      <c r="F11" s="20">
        <f t="shared" si="1"/>
        <v>16576523</v>
      </c>
      <c r="G11" s="20">
        <f t="shared" si="1"/>
        <v>6148110</v>
      </c>
      <c r="H11" s="20">
        <f t="shared" si="1"/>
        <v>4943065</v>
      </c>
      <c r="I11" s="20">
        <f t="shared" si="1"/>
        <v>0</v>
      </c>
      <c r="J11" s="20">
        <f t="shared" si="1"/>
        <v>424844</v>
      </c>
      <c r="K11" s="20">
        <f t="shared" si="1"/>
        <v>11516019</v>
      </c>
      <c r="L11" s="20">
        <f>+L12+L13+L14</f>
        <v>657948</v>
      </c>
      <c r="M11" s="20">
        <f>+M12+M13+M14</f>
        <v>3026865</v>
      </c>
      <c r="N11" s="20"/>
      <c r="O11" s="20">
        <f>+O12+O13+O14</f>
        <v>1375691</v>
      </c>
      <c r="P11" s="21">
        <f>+P12+P13+P14</f>
        <v>5060504</v>
      </c>
      <c r="Q11" s="18"/>
    </row>
    <row r="12" spans="1:18" ht="12.75" customHeight="1">
      <c r="A12" s="22" t="s">
        <v>16</v>
      </c>
      <c r="B12" s="25">
        <v>3914594</v>
      </c>
      <c r="C12" s="25">
        <v>7969930</v>
      </c>
      <c r="D12" s="25"/>
      <c r="E12" s="43">
        <v>1800535</v>
      </c>
      <c r="F12" s="24">
        <f>SUM(B12:E12)</f>
        <v>13685059</v>
      </c>
      <c r="G12" s="24">
        <f>3345282+14413</f>
        <v>3359695</v>
      </c>
      <c r="H12" s="29">
        <f>4825337+117728</f>
        <v>4943065</v>
      </c>
      <c r="I12" s="29"/>
      <c r="J12" s="29">
        <f>395266+29578</f>
        <v>424844</v>
      </c>
      <c r="K12" s="24">
        <f>SUM(G12:J12)</f>
        <v>8727604</v>
      </c>
      <c r="L12" s="25">
        <f t="shared" ref="L12:M14" si="2">+B12-G12</f>
        <v>554899</v>
      </c>
      <c r="M12" s="25">
        <f t="shared" si="2"/>
        <v>3026865</v>
      </c>
      <c r="N12" s="25"/>
      <c r="O12" s="25">
        <f>+E12-J12</f>
        <v>1375691</v>
      </c>
      <c r="P12" s="26">
        <f>SUM(L12:O12)</f>
        <v>4957455</v>
      </c>
      <c r="Q12" s="18"/>
    </row>
    <row r="13" spans="1:18" ht="12.75" customHeight="1">
      <c r="A13" s="22" t="s">
        <v>17</v>
      </c>
      <c r="B13" s="25">
        <v>2538809</v>
      </c>
      <c r="C13" s="25"/>
      <c r="D13" s="25"/>
      <c r="E13" s="43"/>
      <c r="F13" s="24">
        <f>SUM(B13:E13)</f>
        <v>2538809</v>
      </c>
      <c r="G13" s="29">
        <f>2530646+2515</f>
        <v>2533161</v>
      </c>
      <c r="H13" s="34"/>
      <c r="I13" s="34"/>
      <c r="J13" s="34"/>
      <c r="K13" s="24">
        <f>SUM(G13:J13)</f>
        <v>2533161</v>
      </c>
      <c r="L13" s="25">
        <f t="shared" si="2"/>
        <v>5648</v>
      </c>
      <c r="M13" s="25">
        <f t="shared" si="2"/>
        <v>0</v>
      </c>
      <c r="N13" s="25"/>
      <c r="O13" s="25">
        <f>+E13-J13</f>
        <v>0</v>
      </c>
      <c r="P13" s="26">
        <f>SUM(L13:O13)</f>
        <v>5648</v>
      </c>
      <c r="Q13" s="18"/>
    </row>
    <row r="14" spans="1:18" ht="12.75" customHeight="1">
      <c r="A14" s="22" t="s">
        <v>18</v>
      </c>
      <c r="B14" s="25">
        <v>352655</v>
      </c>
      <c r="C14" s="25"/>
      <c r="D14" s="25"/>
      <c r="E14" s="43"/>
      <c r="F14" s="24">
        <f>SUM(B14:E14)</f>
        <v>352655</v>
      </c>
      <c r="G14" s="29">
        <v>255254</v>
      </c>
      <c r="H14" s="34"/>
      <c r="I14" s="34"/>
      <c r="J14" s="34"/>
      <c r="K14" s="24">
        <f>SUM(G14:J14)</f>
        <v>255254</v>
      </c>
      <c r="L14" s="25">
        <f t="shared" si="2"/>
        <v>97401</v>
      </c>
      <c r="M14" s="25">
        <f t="shared" si="2"/>
        <v>0</v>
      </c>
      <c r="N14" s="25"/>
      <c r="O14" s="25">
        <f>+E14-J14</f>
        <v>0</v>
      </c>
      <c r="P14" s="26">
        <f>SUM(L14:O14)</f>
        <v>97401</v>
      </c>
      <c r="Q14" s="18"/>
    </row>
    <row r="15" spans="1:18" ht="12.75" customHeight="1">
      <c r="A15" s="22" t="s">
        <v>19</v>
      </c>
      <c r="B15" s="44">
        <f t="shared" ref="B15:K15" si="3">+B16+B17</f>
        <v>0</v>
      </c>
      <c r="C15" s="44">
        <f t="shared" si="3"/>
        <v>2360674</v>
      </c>
      <c r="D15" s="44">
        <f t="shared" si="3"/>
        <v>0</v>
      </c>
      <c r="E15" s="44">
        <f t="shared" si="3"/>
        <v>712847</v>
      </c>
      <c r="F15" s="44">
        <f t="shared" si="3"/>
        <v>3073521</v>
      </c>
      <c r="G15" s="44">
        <f t="shared" si="3"/>
        <v>0</v>
      </c>
      <c r="H15" s="44">
        <f t="shared" si="3"/>
        <v>162329</v>
      </c>
      <c r="I15" s="44">
        <f t="shared" si="3"/>
        <v>0</v>
      </c>
      <c r="J15" s="44">
        <f t="shared" si="3"/>
        <v>83784</v>
      </c>
      <c r="K15" s="44">
        <f t="shared" si="3"/>
        <v>246113</v>
      </c>
      <c r="L15" s="44">
        <f t="shared" ref="L15:P15" si="4">+L16+L17</f>
        <v>0</v>
      </c>
      <c r="M15" s="44">
        <f t="shared" si="4"/>
        <v>2198345</v>
      </c>
      <c r="N15" s="44"/>
      <c r="O15" s="44">
        <f t="shared" si="4"/>
        <v>629063</v>
      </c>
      <c r="P15" s="45">
        <f t="shared" si="4"/>
        <v>2827408</v>
      </c>
      <c r="Q15" s="18"/>
    </row>
    <row r="16" spans="1:18" ht="12.75" customHeight="1">
      <c r="A16" s="23" t="s">
        <v>20</v>
      </c>
      <c r="B16" s="25"/>
      <c r="C16" s="25">
        <v>2360674</v>
      </c>
      <c r="D16" s="25"/>
      <c r="E16" s="43">
        <v>712847</v>
      </c>
      <c r="F16" s="24">
        <f>SUM(B16:E16)</f>
        <v>3073521</v>
      </c>
      <c r="G16" s="29"/>
      <c r="H16" s="29">
        <v>162329</v>
      </c>
      <c r="I16" s="29"/>
      <c r="J16" s="29">
        <v>83784</v>
      </c>
      <c r="K16" s="24">
        <f>SUM(G16:J16)</f>
        <v>246113</v>
      </c>
      <c r="L16" s="25">
        <f>+B16-G16</f>
        <v>0</v>
      </c>
      <c r="M16" s="25">
        <f>+C16-H16</f>
        <v>2198345</v>
      </c>
      <c r="N16" s="25"/>
      <c r="O16" s="25">
        <f>+E16-J16</f>
        <v>629063</v>
      </c>
      <c r="P16" s="26">
        <f>SUM(L16:O16)</f>
        <v>2827408</v>
      </c>
      <c r="Q16" s="18"/>
    </row>
    <row r="17" spans="1:17" ht="12.75" customHeight="1">
      <c r="A17" s="23" t="s">
        <v>21</v>
      </c>
      <c r="B17" s="25"/>
      <c r="C17" s="25"/>
      <c r="D17" s="25"/>
      <c r="E17" s="43"/>
      <c r="F17" s="24">
        <f>SUM(B17:E17)</f>
        <v>0</v>
      </c>
      <c r="G17" s="29"/>
      <c r="H17" s="29"/>
      <c r="I17" s="29"/>
      <c r="J17" s="29"/>
      <c r="K17" s="24">
        <f>SUM(G17:J17)</f>
        <v>0</v>
      </c>
      <c r="L17" s="25">
        <f>+B17-G17</f>
        <v>0</v>
      </c>
      <c r="M17" s="25">
        <f>+C17-H17</f>
        <v>0</v>
      </c>
      <c r="N17" s="25"/>
      <c r="O17" s="25">
        <f>+E17-J17</f>
        <v>0</v>
      </c>
      <c r="P17" s="26">
        <f>SUM(L17:O17)</f>
        <v>0</v>
      </c>
      <c r="Q17" s="18"/>
    </row>
    <row r="18" spans="1:17" ht="12.75" customHeight="1">
      <c r="A18" s="83"/>
      <c r="B18" s="77"/>
      <c r="C18" s="77"/>
      <c r="D18" s="77"/>
      <c r="E18" s="75"/>
      <c r="F18" s="77"/>
      <c r="G18" s="82"/>
      <c r="H18" s="82"/>
      <c r="I18" s="82"/>
      <c r="J18" s="82"/>
      <c r="K18" s="82"/>
      <c r="L18" s="77"/>
      <c r="M18" s="77"/>
      <c r="N18" s="77"/>
      <c r="O18" s="77"/>
      <c r="P18" s="75"/>
      <c r="Q18" s="76"/>
    </row>
    <row r="19" spans="1:17">
      <c r="A19" s="80"/>
    </row>
    <row r="20" spans="1:17">
      <c r="A20" s="80"/>
    </row>
    <row r="21" spans="1:17">
      <c r="A21" s="80"/>
    </row>
    <row r="22" spans="1:17">
      <c r="A22" s="80"/>
    </row>
    <row r="23" spans="1:17">
      <c r="A23" s="80"/>
    </row>
    <row r="24" spans="1:17">
      <c r="A24" s="80"/>
    </row>
    <row r="25" spans="1:17">
      <c r="A25" s="80"/>
    </row>
    <row r="26" spans="1:17">
      <c r="A26" s="80"/>
    </row>
    <row r="27" spans="1:17">
      <c r="A27" s="80"/>
    </row>
    <row r="28" spans="1:17">
      <c r="A28" s="80"/>
    </row>
    <row r="29" spans="1:17">
      <c r="A29" s="80"/>
    </row>
    <row r="30" spans="1:17">
      <c r="A30" s="80"/>
    </row>
    <row r="31" spans="1:17">
      <c r="A31" s="80"/>
    </row>
    <row r="32" spans="1:17">
      <c r="A32" s="80"/>
    </row>
    <row r="33" spans="1:1">
      <c r="A33" s="80"/>
    </row>
    <row r="34" spans="1:1">
      <c r="A34" s="80"/>
    </row>
    <row r="35" spans="1:1">
      <c r="A35" s="80"/>
    </row>
    <row r="36" spans="1:1">
      <c r="A36" s="80"/>
    </row>
    <row r="37" spans="1:1">
      <c r="A37" s="80"/>
    </row>
    <row r="38" spans="1:1">
      <c r="A38" s="80"/>
    </row>
    <row r="39" spans="1:1">
      <c r="A39" s="80"/>
    </row>
    <row r="40" spans="1:1">
      <c r="A40" s="80"/>
    </row>
    <row r="41" spans="1:1">
      <c r="A41" s="80"/>
    </row>
    <row r="42" spans="1:1">
      <c r="A42" s="80"/>
    </row>
    <row r="43" spans="1:1">
      <c r="A43" s="80"/>
    </row>
    <row r="44" spans="1:1">
      <c r="A44" s="80"/>
    </row>
    <row r="45" spans="1:1">
      <c r="A45" s="80"/>
    </row>
    <row r="46" spans="1:1">
      <c r="A46" s="80"/>
    </row>
    <row r="47" spans="1:1">
      <c r="A47" s="80"/>
    </row>
    <row r="48" spans="1:1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  <row r="61" spans="1:1">
      <c r="A61" s="80"/>
    </row>
    <row r="62" spans="1:1">
      <c r="A62" s="80"/>
    </row>
    <row r="63" spans="1:1">
      <c r="A63" s="80"/>
    </row>
    <row r="64" spans="1:1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2" fitToWidth="0" fitToHeight="0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161"/>
  <sheetViews>
    <sheetView showRuler="0" zoomScaleSheetLayoutView="100" workbookViewId="0">
      <pane xSplit="1" ySplit="8" topLeftCell="B102" activePane="bottomRight" state="frozen"/>
      <selection activeCell="A1459" sqref="A1459"/>
      <selection pane="topRight" activeCell="A1459" sqref="A1459"/>
      <selection pane="bottomLeft" activeCell="A1459" sqref="A1459"/>
      <selection pane="bottomRight" activeCell="A111" sqref="A110:Q111"/>
    </sheetView>
  </sheetViews>
  <sheetFormatPr defaultRowHeight="12.75"/>
  <cols>
    <col min="1" max="1" width="38.285156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8.71093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29</v>
      </c>
      <c r="B10" s="17">
        <f t="shared" ref="B10:P10" si="0">+B11+B16+B15</f>
        <v>5128579</v>
      </c>
      <c r="C10" s="17">
        <f t="shared" si="0"/>
        <v>30853751</v>
      </c>
      <c r="D10" s="17">
        <f t="shared" si="0"/>
        <v>0</v>
      </c>
      <c r="E10" s="17">
        <f t="shared" si="0"/>
        <v>34102921</v>
      </c>
      <c r="F10" s="17">
        <f t="shared" si="0"/>
        <v>70085251</v>
      </c>
      <c r="G10" s="17">
        <f t="shared" si="0"/>
        <v>4652225</v>
      </c>
      <c r="H10" s="17">
        <f t="shared" si="0"/>
        <v>24745573</v>
      </c>
      <c r="I10" s="17"/>
      <c r="J10" s="17">
        <f t="shared" si="0"/>
        <v>24865514</v>
      </c>
      <c r="K10" s="17">
        <f t="shared" si="0"/>
        <v>54263312</v>
      </c>
      <c r="L10" s="17">
        <f t="shared" si="0"/>
        <v>476354</v>
      </c>
      <c r="M10" s="17">
        <f t="shared" si="0"/>
        <v>6108178</v>
      </c>
      <c r="N10" s="17"/>
      <c r="O10" s="17">
        <f t="shared" si="0"/>
        <v>9237407</v>
      </c>
      <c r="P10" s="17">
        <f t="shared" si="0"/>
        <v>15821939</v>
      </c>
      <c r="Q10" s="18">
        <f>+K10/F10</f>
        <v>0.77424723783895699</v>
      </c>
    </row>
    <row r="11" spans="1:18" ht="12.75" customHeight="1">
      <c r="A11" s="41" t="s">
        <v>15</v>
      </c>
      <c r="B11" s="20">
        <f t="shared" ref="B11:P11" si="1">+B12+B13+B14</f>
        <v>5128579</v>
      </c>
      <c r="C11" s="20">
        <f t="shared" si="1"/>
        <v>27209225</v>
      </c>
      <c r="D11" s="20">
        <f t="shared" si="1"/>
        <v>0</v>
      </c>
      <c r="E11" s="20">
        <f t="shared" si="1"/>
        <v>30313007</v>
      </c>
      <c r="F11" s="20">
        <f t="shared" si="1"/>
        <v>62650811</v>
      </c>
      <c r="G11" s="20">
        <f t="shared" si="1"/>
        <v>4652225</v>
      </c>
      <c r="H11" s="20">
        <f t="shared" si="1"/>
        <v>22637622</v>
      </c>
      <c r="I11" s="20"/>
      <c r="J11" s="20">
        <f t="shared" si="1"/>
        <v>21977038</v>
      </c>
      <c r="K11" s="20">
        <f t="shared" si="1"/>
        <v>49266885</v>
      </c>
      <c r="L11" s="20">
        <f t="shared" si="1"/>
        <v>476354</v>
      </c>
      <c r="M11" s="20">
        <f t="shared" si="1"/>
        <v>4571603</v>
      </c>
      <c r="N11" s="20"/>
      <c r="O11" s="20">
        <f t="shared" si="1"/>
        <v>8335969</v>
      </c>
      <c r="P11" s="21">
        <f t="shared" si="1"/>
        <v>13383926</v>
      </c>
      <c r="Q11" s="18"/>
    </row>
    <row r="12" spans="1:18" ht="12.75" customHeight="1">
      <c r="A12" s="22" t="s">
        <v>16</v>
      </c>
      <c r="B12" s="23">
        <f t="shared" ref="B12:E14" si="2">+B22+B32+B41+B51+B60+B69+B78+B87+B96+B105+B114</f>
        <v>3362425</v>
      </c>
      <c r="C12" s="23">
        <f t="shared" si="2"/>
        <v>26491491</v>
      </c>
      <c r="D12" s="23"/>
      <c r="E12" s="23">
        <f t="shared" si="2"/>
        <v>26103409</v>
      </c>
      <c r="F12" s="24">
        <f>SUM(B12:E12)</f>
        <v>55957325</v>
      </c>
      <c r="G12" s="23">
        <f t="shared" ref="G12:J14" si="3">+G22+G32+G41+G51+G60+G69+G78+G87+G96+G105+G114</f>
        <v>2948395</v>
      </c>
      <c r="H12" s="23">
        <f t="shared" si="3"/>
        <v>22196533</v>
      </c>
      <c r="I12" s="23"/>
      <c r="J12" s="23">
        <f t="shared" si="3"/>
        <v>19814228</v>
      </c>
      <c r="K12" s="24">
        <f>SUM(G12:J12)</f>
        <v>44959156</v>
      </c>
      <c r="L12" s="25">
        <f t="shared" ref="L12:M15" si="4">+B12-G12</f>
        <v>414030</v>
      </c>
      <c r="M12" s="25">
        <f t="shared" si="4"/>
        <v>4294958</v>
      </c>
      <c r="N12" s="25"/>
      <c r="O12" s="25">
        <f>+E12-J12</f>
        <v>6289181</v>
      </c>
      <c r="P12" s="26">
        <f>SUM(L12:O12)</f>
        <v>10998169</v>
      </c>
      <c r="Q12" s="18"/>
    </row>
    <row r="13" spans="1:18" ht="12.75" customHeight="1">
      <c r="A13" s="22" t="s">
        <v>17</v>
      </c>
      <c r="B13" s="23">
        <f t="shared" si="2"/>
        <v>1471440</v>
      </c>
      <c r="C13" s="23">
        <f t="shared" si="2"/>
        <v>141501</v>
      </c>
      <c r="D13" s="23"/>
      <c r="E13" s="23">
        <f t="shared" si="2"/>
        <v>4194598</v>
      </c>
      <c r="F13" s="24">
        <f>SUM(B13:E13)</f>
        <v>5807539</v>
      </c>
      <c r="G13" s="23">
        <f t="shared" si="3"/>
        <v>1461810</v>
      </c>
      <c r="H13" s="23">
        <f t="shared" si="3"/>
        <v>0</v>
      </c>
      <c r="I13" s="23"/>
      <c r="J13" s="23">
        <f t="shared" si="3"/>
        <v>2151137</v>
      </c>
      <c r="K13" s="24">
        <f>SUM(G13:J13)</f>
        <v>3612947</v>
      </c>
      <c r="L13" s="25">
        <f t="shared" si="4"/>
        <v>9630</v>
      </c>
      <c r="M13" s="25">
        <f t="shared" si="4"/>
        <v>141501</v>
      </c>
      <c r="N13" s="25"/>
      <c r="O13" s="25">
        <f>+E13-J13</f>
        <v>2043461</v>
      </c>
      <c r="P13" s="26">
        <f>SUM(L13:O13)</f>
        <v>2194592</v>
      </c>
      <c r="Q13" s="18"/>
    </row>
    <row r="14" spans="1:18" ht="12.75" customHeight="1">
      <c r="A14" s="22" t="s">
        <v>18</v>
      </c>
      <c r="B14" s="23">
        <f t="shared" si="2"/>
        <v>294714</v>
      </c>
      <c r="C14" s="23">
        <f t="shared" si="2"/>
        <v>576233</v>
      </c>
      <c r="D14" s="23"/>
      <c r="E14" s="23">
        <f t="shared" si="2"/>
        <v>15000</v>
      </c>
      <c r="F14" s="24">
        <f>SUM(B14:E14)</f>
        <v>885947</v>
      </c>
      <c r="G14" s="23">
        <f t="shared" si="3"/>
        <v>242020</v>
      </c>
      <c r="H14" s="23">
        <f t="shared" si="3"/>
        <v>441089</v>
      </c>
      <c r="I14" s="23"/>
      <c r="J14" s="23">
        <f t="shared" si="3"/>
        <v>11673</v>
      </c>
      <c r="K14" s="24">
        <f>SUM(G14:J14)</f>
        <v>694782</v>
      </c>
      <c r="L14" s="25">
        <f t="shared" si="4"/>
        <v>52694</v>
      </c>
      <c r="M14" s="25">
        <f t="shared" si="4"/>
        <v>135144</v>
      </c>
      <c r="N14" s="25"/>
      <c r="O14" s="25">
        <f>+E14-J14</f>
        <v>3327</v>
      </c>
      <c r="P14" s="26">
        <f>SUM(L14:O14)</f>
        <v>191165</v>
      </c>
      <c r="Q14" s="18"/>
    </row>
    <row r="15" spans="1:18" ht="12.75" customHeight="1">
      <c r="A15" s="41" t="s">
        <v>30</v>
      </c>
      <c r="B15" s="23">
        <f>+B25+B44</f>
        <v>0</v>
      </c>
      <c r="C15" s="23">
        <f t="shared" ref="C15:J15" si="5">+C25+C44</f>
        <v>1192625</v>
      </c>
      <c r="D15" s="23"/>
      <c r="E15" s="23">
        <f t="shared" si="5"/>
        <v>1000</v>
      </c>
      <c r="F15" s="23">
        <f t="shared" si="5"/>
        <v>1193625</v>
      </c>
      <c r="G15" s="23">
        <f t="shared" si="5"/>
        <v>0</v>
      </c>
      <c r="H15" s="23">
        <f t="shared" si="5"/>
        <v>31896</v>
      </c>
      <c r="I15" s="23"/>
      <c r="J15" s="23">
        <f t="shared" si="5"/>
        <v>0</v>
      </c>
      <c r="K15" s="24">
        <f>SUM(G15:J15)</f>
        <v>31896</v>
      </c>
      <c r="L15" s="25">
        <f t="shared" si="4"/>
        <v>0</v>
      </c>
      <c r="M15" s="25">
        <f t="shared" si="4"/>
        <v>1160729</v>
      </c>
      <c r="N15" s="25"/>
      <c r="O15" s="25">
        <f>+E15-J15</f>
        <v>1000</v>
      </c>
      <c r="P15" s="26">
        <f>SUM(L15:O15)</f>
        <v>1161729</v>
      </c>
      <c r="Q15" s="18"/>
    </row>
    <row r="16" spans="1:18" ht="12.75" customHeight="1">
      <c r="A16" s="22" t="s">
        <v>19</v>
      </c>
      <c r="B16" s="44">
        <f t="shared" ref="B16:P16" si="6">+B17+B18</f>
        <v>0</v>
      </c>
      <c r="C16" s="44">
        <f t="shared" si="6"/>
        <v>2451901</v>
      </c>
      <c r="D16" s="44"/>
      <c r="E16" s="45">
        <f t="shared" si="6"/>
        <v>3788914</v>
      </c>
      <c r="F16" s="44">
        <f t="shared" si="6"/>
        <v>6240815</v>
      </c>
      <c r="G16" s="44">
        <f t="shared" si="6"/>
        <v>0</v>
      </c>
      <c r="H16" s="44">
        <f t="shared" si="6"/>
        <v>2076055</v>
      </c>
      <c r="I16" s="44"/>
      <c r="J16" s="45">
        <f t="shared" si="6"/>
        <v>2888476</v>
      </c>
      <c r="K16" s="44">
        <f t="shared" si="6"/>
        <v>4964531</v>
      </c>
      <c r="L16" s="44">
        <f t="shared" si="6"/>
        <v>0</v>
      </c>
      <c r="M16" s="44">
        <f t="shared" si="6"/>
        <v>375846</v>
      </c>
      <c r="N16" s="44"/>
      <c r="O16" s="44">
        <f t="shared" si="6"/>
        <v>900438</v>
      </c>
      <c r="P16" s="45">
        <f t="shared" si="6"/>
        <v>1276284</v>
      </c>
      <c r="Q16" s="18"/>
    </row>
    <row r="17" spans="1:17" ht="12.75" customHeight="1">
      <c r="A17" s="23" t="s">
        <v>20</v>
      </c>
      <c r="B17" s="23">
        <f t="shared" ref="B17:E18" si="7">+B27+B36+B46+B55+B64+B73+B82+B91+B100+B109+B118</f>
        <v>0</v>
      </c>
      <c r="C17" s="23">
        <f t="shared" si="7"/>
        <v>2451901</v>
      </c>
      <c r="D17" s="23"/>
      <c r="E17" s="23">
        <f t="shared" si="7"/>
        <v>3274776</v>
      </c>
      <c r="F17" s="24">
        <f>SUM(B17:E17)</f>
        <v>5726677</v>
      </c>
      <c r="G17" s="23">
        <f t="shared" ref="G17:J18" si="8">+G27+G36+G46+G55+G64+G73+G82+G91+G100+G109+G118</f>
        <v>0</v>
      </c>
      <c r="H17" s="23">
        <f t="shared" si="8"/>
        <v>2076055</v>
      </c>
      <c r="I17" s="23"/>
      <c r="J17" s="23">
        <f t="shared" si="8"/>
        <v>2888476</v>
      </c>
      <c r="K17" s="24">
        <f>SUM(G17:J17)</f>
        <v>4964531</v>
      </c>
      <c r="L17" s="25">
        <f>+B17-G17</f>
        <v>0</v>
      </c>
      <c r="M17" s="25">
        <f>+C17-H17</f>
        <v>375846</v>
      </c>
      <c r="N17" s="25"/>
      <c r="O17" s="25">
        <f>+E17-J17</f>
        <v>386300</v>
      </c>
      <c r="P17" s="26">
        <f>SUM(L17:O17)</f>
        <v>762146</v>
      </c>
      <c r="Q17" s="18"/>
    </row>
    <row r="18" spans="1:17" ht="12.75" customHeight="1">
      <c r="A18" s="23" t="s">
        <v>21</v>
      </c>
      <c r="B18" s="23">
        <f t="shared" si="7"/>
        <v>0</v>
      </c>
      <c r="C18" s="23">
        <f t="shared" si="7"/>
        <v>0</v>
      </c>
      <c r="D18" s="23"/>
      <c r="E18" s="23">
        <f t="shared" si="7"/>
        <v>514138</v>
      </c>
      <c r="F18" s="24">
        <f>SUM(B18:E18)</f>
        <v>514138</v>
      </c>
      <c r="G18" s="23">
        <f t="shared" si="8"/>
        <v>0</v>
      </c>
      <c r="H18" s="23">
        <f t="shared" si="8"/>
        <v>0</v>
      </c>
      <c r="I18" s="23"/>
      <c r="J18" s="23">
        <f t="shared" si="8"/>
        <v>0</v>
      </c>
      <c r="K18" s="24">
        <f>SUM(G18:J18)</f>
        <v>0</v>
      </c>
      <c r="L18" s="25">
        <f>+B18-G18</f>
        <v>0</v>
      </c>
      <c r="M18" s="25">
        <f>+C18-H18</f>
        <v>0</v>
      </c>
      <c r="N18" s="25"/>
      <c r="O18" s="25">
        <f>+E18-J18</f>
        <v>514138</v>
      </c>
      <c r="P18" s="26">
        <f>SUM(L18:O18)</f>
        <v>514138</v>
      </c>
      <c r="Q18" s="18"/>
    </row>
    <row r="19" spans="1:17" ht="12.75" customHeight="1">
      <c r="A19" s="22"/>
      <c r="B19" s="25"/>
      <c r="C19" s="25"/>
      <c r="D19" s="25"/>
      <c r="E19" s="43"/>
      <c r="F19" s="24"/>
      <c r="G19" s="47"/>
      <c r="H19" s="47"/>
      <c r="I19" s="47"/>
      <c r="J19" s="47"/>
      <c r="K19" s="32"/>
      <c r="L19" s="25"/>
      <c r="M19" s="25"/>
      <c r="N19" s="25"/>
      <c r="O19" s="25"/>
      <c r="P19" s="26"/>
      <c r="Q19" s="18"/>
    </row>
    <row r="20" spans="1:17" ht="12.75" customHeight="1">
      <c r="A20" s="33" t="s">
        <v>31</v>
      </c>
      <c r="B20" s="17">
        <f t="shared" ref="B20:K20" si="9">+B21+B26+B25</f>
        <v>3705392</v>
      </c>
      <c r="C20" s="17">
        <f t="shared" si="9"/>
        <v>25682822</v>
      </c>
      <c r="D20" s="17">
        <f t="shared" si="9"/>
        <v>0</v>
      </c>
      <c r="E20" s="17">
        <f t="shared" si="9"/>
        <v>31963313</v>
      </c>
      <c r="F20" s="17">
        <f t="shared" si="9"/>
        <v>61351527</v>
      </c>
      <c r="G20" s="17">
        <f t="shared" si="9"/>
        <v>3440574</v>
      </c>
      <c r="H20" s="17">
        <f t="shared" si="9"/>
        <v>20242490</v>
      </c>
      <c r="I20" s="17">
        <f t="shared" si="9"/>
        <v>0</v>
      </c>
      <c r="J20" s="17">
        <f t="shared" si="9"/>
        <v>23663376</v>
      </c>
      <c r="K20" s="17">
        <f t="shared" si="9"/>
        <v>47346440</v>
      </c>
      <c r="L20" s="17">
        <f t="shared" ref="L20:P20" si="10">+L21+L26+L25</f>
        <v>264818</v>
      </c>
      <c r="M20" s="17">
        <f t="shared" si="10"/>
        <v>5440332</v>
      </c>
      <c r="N20" s="17"/>
      <c r="O20" s="17">
        <f t="shared" si="10"/>
        <v>8299937</v>
      </c>
      <c r="P20" s="17">
        <f t="shared" si="10"/>
        <v>14005087</v>
      </c>
      <c r="Q20" s="18">
        <f>+K20/F20</f>
        <v>0.77172390509530431</v>
      </c>
    </row>
    <row r="21" spans="1:17" ht="12.75" customHeight="1">
      <c r="A21" s="41" t="s">
        <v>15</v>
      </c>
      <c r="B21" s="20">
        <f t="shared" ref="B21:K21" si="11">+B22+B23+B24</f>
        <v>3705392</v>
      </c>
      <c r="C21" s="20">
        <f t="shared" si="11"/>
        <v>23319919</v>
      </c>
      <c r="D21" s="20">
        <f t="shared" si="11"/>
        <v>0</v>
      </c>
      <c r="E21" s="20">
        <f t="shared" si="11"/>
        <v>28829962</v>
      </c>
      <c r="F21" s="20">
        <f t="shared" si="11"/>
        <v>55855273</v>
      </c>
      <c r="G21" s="20">
        <f t="shared" si="11"/>
        <v>3440574</v>
      </c>
      <c r="H21" s="20">
        <f t="shared" si="11"/>
        <v>19337201</v>
      </c>
      <c r="I21" s="20">
        <f t="shared" si="11"/>
        <v>0</v>
      </c>
      <c r="J21" s="20">
        <f t="shared" si="11"/>
        <v>21358663</v>
      </c>
      <c r="K21" s="20">
        <f t="shared" si="11"/>
        <v>44136438</v>
      </c>
      <c r="L21" s="20">
        <f>+L22+L23+L24</f>
        <v>264818</v>
      </c>
      <c r="M21" s="20">
        <f>+M22+M23+M24</f>
        <v>3982718</v>
      </c>
      <c r="N21" s="20"/>
      <c r="O21" s="20">
        <f>+O22+O23+O24</f>
        <v>7471299</v>
      </c>
      <c r="P21" s="21">
        <f>+P22+P23+P24</f>
        <v>11718835</v>
      </c>
      <c r="Q21" s="18"/>
    </row>
    <row r="22" spans="1:17" ht="12.75" customHeight="1">
      <c r="A22" s="22" t="s">
        <v>16</v>
      </c>
      <c r="B22" s="29">
        <v>2277987</v>
      </c>
      <c r="C22" s="29">
        <v>22793805</v>
      </c>
      <c r="D22" s="29"/>
      <c r="E22" s="30">
        <v>24635364</v>
      </c>
      <c r="F22" s="24">
        <f>SUM(B22:E22)</f>
        <v>49707156</v>
      </c>
      <c r="G22" s="29">
        <v>2061887</v>
      </c>
      <c r="H22" s="29">
        <v>19078292</v>
      </c>
      <c r="I22" s="29"/>
      <c r="J22" s="29">
        <v>19207526</v>
      </c>
      <c r="K22" s="24">
        <f>SUM(G22:J22)</f>
        <v>40347705</v>
      </c>
      <c r="L22" s="25">
        <f t="shared" ref="L22:M25" si="12">+B22-G22</f>
        <v>216100</v>
      </c>
      <c r="M22" s="25">
        <f t="shared" si="12"/>
        <v>3715513</v>
      </c>
      <c r="N22" s="25"/>
      <c r="O22" s="25">
        <f>+E22-J22</f>
        <v>5427838</v>
      </c>
      <c r="P22" s="26">
        <f>SUM(L22:O22)</f>
        <v>9359451</v>
      </c>
      <c r="Q22" s="18"/>
    </row>
    <row r="23" spans="1:17" ht="12.75" customHeight="1">
      <c r="A23" s="22" t="s">
        <v>17</v>
      </c>
      <c r="B23" s="29">
        <v>1223546</v>
      </c>
      <c r="C23" s="29">
        <v>141501</v>
      </c>
      <c r="D23" s="29"/>
      <c r="E23" s="30">
        <v>4194598</v>
      </c>
      <c r="F23" s="24">
        <f>SUM(B23:E23)</f>
        <v>5559645</v>
      </c>
      <c r="G23" s="29">
        <v>1213924</v>
      </c>
      <c r="H23" s="29"/>
      <c r="I23" s="29"/>
      <c r="J23" s="29">
        <v>2151137</v>
      </c>
      <c r="K23" s="24">
        <f>SUM(G23:J23)</f>
        <v>3365061</v>
      </c>
      <c r="L23" s="25">
        <f t="shared" si="12"/>
        <v>9622</v>
      </c>
      <c r="M23" s="25">
        <f t="shared" si="12"/>
        <v>141501</v>
      </c>
      <c r="N23" s="25"/>
      <c r="O23" s="25">
        <f>+E23-J23</f>
        <v>2043461</v>
      </c>
      <c r="P23" s="26">
        <f>SUM(L23:O23)</f>
        <v>2194584</v>
      </c>
      <c r="Q23" s="18"/>
    </row>
    <row r="24" spans="1:17" ht="12.75" customHeight="1">
      <c r="A24" s="22" t="s">
        <v>18</v>
      </c>
      <c r="B24" s="29">
        <v>203859</v>
      </c>
      <c r="C24" s="29">
        <v>384613</v>
      </c>
      <c r="D24" s="29"/>
      <c r="E24" s="30"/>
      <c r="F24" s="24">
        <f>SUM(B24:E24)</f>
        <v>588472</v>
      </c>
      <c r="G24" s="29">
        <v>164763</v>
      </c>
      <c r="H24" s="29">
        <v>258909</v>
      </c>
      <c r="I24" s="29"/>
      <c r="J24" s="29"/>
      <c r="K24" s="24">
        <f>SUM(G24:J24)</f>
        <v>423672</v>
      </c>
      <c r="L24" s="25">
        <f t="shared" si="12"/>
        <v>39096</v>
      </c>
      <c r="M24" s="25">
        <f t="shared" si="12"/>
        <v>125704</v>
      </c>
      <c r="N24" s="25"/>
      <c r="O24" s="25">
        <f>+E24-J24</f>
        <v>0</v>
      </c>
      <c r="P24" s="26">
        <f>SUM(L24:O24)</f>
        <v>164800</v>
      </c>
      <c r="Q24" s="18"/>
    </row>
    <row r="25" spans="1:17" ht="12.75" customHeight="1">
      <c r="A25" s="41" t="s">
        <v>30</v>
      </c>
      <c r="B25" s="29"/>
      <c r="C25" s="29">
        <v>1157813</v>
      </c>
      <c r="D25" s="29"/>
      <c r="E25" s="30">
        <v>1000</v>
      </c>
      <c r="F25" s="24">
        <f>SUM(B25:E25)</f>
        <v>1158813</v>
      </c>
      <c r="G25" s="29"/>
      <c r="H25" s="29"/>
      <c r="I25" s="29"/>
      <c r="J25" s="29"/>
      <c r="K25" s="24">
        <f>SUM(G25:J25)</f>
        <v>0</v>
      </c>
      <c r="L25" s="25">
        <f t="shared" si="12"/>
        <v>0</v>
      </c>
      <c r="M25" s="25">
        <f t="shared" si="12"/>
        <v>1157813</v>
      </c>
      <c r="N25" s="25"/>
      <c r="O25" s="25">
        <f>+E25-J25</f>
        <v>1000</v>
      </c>
      <c r="P25" s="26">
        <f>SUM(L25:O25)</f>
        <v>1158813</v>
      </c>
      <c r="Q25" s="18"/>
    </row>
    <row r="26" spans="1:17" ht="12.75" customHeight="1">
      <c r="A26" s="22" t="s">
        <v>19</v>
      </c>
      <c r="B26" s="27">
        <f t="shared" ref="B26:K26" si="13">+B27+B28</f>
        <v>0</v>
      </c>
      <c r="C26" s="27">
        <f t="shared" si="13"/>
        <v>1205090</v>
      </c>
      <c r="D26" s="27">
        <f t="shared" si="13"/>
        <v>0</v>
      </c>
      <c r="E26" s="27">
        <f t="shared" si="13"/>
        <v>3132351</v>
      </c>
      <c r="F26" s="27">
        <f t="shared" si="13"/>
        <v>4337441</v>
      </c>
      <c r="G26" s="27">
        <f t="shared" si="13"/>
        <v>0</v>
      </c>
      <c r="H26" s="27">
        <f t="shared" si="13"/>
        <v>905289</v>
      </c>
      <c r="I26" s="27">
        <f t="shared" si="13"/>
        <v>0</v>
      </c>
      <c r="J26" s="27">
        <f t="shared" si="13"/>
        <v>2304713</v>
      </c>
      <c r="K26" s="27">
        <f t="shared" si="13"/>
        <v>3210002</v>
      </c>
      <c r="L26" s="27">
        <f t="shared" ref="L26:P26" si="14">+L27+L28</f>
        <v>0</v>
      </c>
      <c r="M26" s="27">
        <f t="shared" si="14"/>
        <v>299801</v>
      </c>
      <c r="N26" s="27"/>
      <c r="O26" s="27">
        <f t="shared" si="14"/>
        <v>827638</v>
      </c>
      <c r="P26" s="28">
        <f t="shared" si="14"/>
        <v>1127439</v>
      </c>
      <c r="Q26" s="18"/>
    </row>
    <row r="27" spans="1:17" ht="12.75" customHeight="1">
      <c r="A27" s="23" t="s">
        <v>20</v>
      </c>
      <c r="B27" s="29"/>
      <c r="C27" s="29">
        <v>1205090</v>
      </c>
      <c r="D27" s="29"/>
      <c r="E27" s="30">
        <v>2618213</v>
      </c>
      <c r="F27" s="24">
        <f>SUM(B27:E27)</f>
        <v>3823303</v>
      </c>
      <c r="G27" s="29"/>
      <c r="H27" s="29">
        <v>905289</v>
      </c>
      <c r="I27" s="29"/>
      <c r="J27" s="29">
        <v>2304713</v>
      </c>
      <c r="K27" s="24">
        <f>SUM(G27:J27)</f>
        <v>3210002</v>
      </c>
      <c r="L27" s="25">
        <f>+B27-G27</f>
        <v>0</v>
      </c>
      <c r="M27" s="25">
        <f>+C27-H27</f>
        <v>299801</v>
      </c>
      <c r="N27" s="25"/>
      <c r="O27" s="25">
        <f>+E27-J27</f>
        <v>313500</v>
      </c>
      <c r="P27" s="26">
        <f>SUM(L27:O27)</f>
        <v>613301</v>
      </c>
      <c r="Q27" s="18"/>
    </row>
    <row r="28" spans="1:17" ht="12.75" customHeight="1">
      <c r="A28" s="23" t="s">
        <v>21</v>
      </c>
      <c r="B28" s="29"/>
      <c r="C28" s="29"/>
      <c r="D28" s="29"/>
      <c r="E28" s="30">
        <v>514138</v>
      </c>
      <c r="F28" s="24">
        <f>SUM(B28:E28)</f>
        <v>514138</v>
      </c>
      <c r="G28" s="29"/>
      <c r="H28" s="29"/>
      <c r="I28" s="29"/>
      <c r="J28" s="29"/>
      <c r="K28" s="24">
        <f>SUM(G28:J28)</f>
        <v>0</v>
      </c>
      <c r="L28" s="25">
        <f>+B28-G28</f>
        <v>0</v>
      </c>
      <c r="M28" s="25">
        <f>+C28-H28</f>
        <v>0</v>
      </c>
      <c r="N28" s="25"/>
      <c r="O28" s="25">
        <f>+E28-J28</f>
        <v>514138</v>
      </c>
      <c r="P28" s="26">
        <f>SUM(L28:O28)</f>
        <v>514138</v>
      </c>
      <c r="Q28" s="18"/>
    </row>
    <row r="29" spans="1:17" ht="12.75" customHeight="1">
      <c r="A29" s="33"/>
      <c r="B29" s="25"/>
      <c r="C29" s="25"/>
      <c r="D29" s="25"/>
      <c r="E29" s="43"/>
      <c r="F29" s="24"/>
      <c r="G29" s="47"/>
      <c r="H29" s="47"/>
      <c r="I29" s="47"/>
      <c r="J29" s="47"/>
      <c r="K29" s="32"/>
      <c r="L29" s="25"/>
      <c r="M29" s="25"/>
      <c r="N29" s="25"/>
      <c r="O29" s="25"/>
      <c r="P29" s="26"/>
      <c r="Q29" s="18"/>
    </row>
    <row r="30" spans="1:17" ht="12.75" customHeight="1">
      <c r="A30" s="33" t="s">
        <v>32</v>
      </c>
      <c r="B30" s="17">
        <f t="shared" ref="B30:K30" si="15">+B31+B35</f>
        <v>26231</v>
      </c>
      <c r="C30" s="17">
        <f t="shared" si="15"/>
        <v>31195</v>
      </c>
      <c r="D30" s="17">
        <f t="shared" si="15"/>
        <v>0</v>
      </c>
      <c r="E30" s="17">
        <f t="shared" si="15"/>
        <v>0</v>
      </c>
      <c r="F30" s="17">
        <f t="shared" si="15"/>
        <v>57426</v>
      </c>
      <c r="G30" s="17">
        <f t="shared" si="15"/>
        <v>26229</v>
      </c>
      <c r="H30" s="17">
        <f t="shared" si="15"/>
        <v>29793</v>
      </c>
      <c r="I30" s="17">
        <f t="shared" si="15"/>
        <v>0</v>
      </c>
      <c r="J30" s="17">
        <f t="shared" si="15"/>
        <v>0</v>
      </c>
      <c r="K30" s="17">
        <f t="shared" si="15"/>
        <v>56022</v>
      </c>
      <c r="L30" s="17">
        <f>+L31+L35</f>
        <v>2</v>
      </c>
      <c r="M30" s="17">
        <f>+M31+M35</f>
        <v>1402</v>
      </c>
      <c r="N30" s="17"/>
      <c r="O30" s="17">
        <f>+O31+O35</f>
        <v>0</v>
      </c>
      <c r="P30" s="17">
        <f>+P31+P35</f>
        <v>1404</v>
      </c>
      <c r="Q30" s="18">
        <f>+K30/F30</f>
        <v>0.97555114408107824</v>
      </c>
    </row>
    <row r="31" spans="1:17" ht="12.75" customHeight="1">
      <c r="A31" s="41" t="s">
        <v>15</v>
      </c>
      <c r="B31" s="20">
        <f t="shared" ref="B31:K31" si="16">+B32+B33+B34</f>
        <v>26231</v>
      </c>
      <c r="C31" s="20">
        <f t="shared" si="16"/>
        <v>31193</v>
      </c>
      <c r="D31" s="20">
        <f t="shared" si="16"/>
        <v>0</v>
      </c>
      <c r="E31" s="20">
        <f t="shared" si="16"/>
        <v>0</v>
      </c>
      <c r="F31" s="20">
        <f t="shared" si="16"/>
        <v>57424</v>
      </c>
      <c r="G31" s="20">
        <f t="shared" si="16"/>
        <v>26229</v>
      </c>
      <c r="H31" s="20">
        <f t="shared" si="16"/>
        <v>29793</v>
      </c>
      <c r="I31" s="20">
        <f t="shared" si="16"/>
        <v>0</v>
      </c>
      <c r="J31" s="20">
        <f t="shared" si="16"/>
        <v>0</v>
      </c>
      <c r="K31" s="20">
        <f t="shared" si="16"/>
        <v>56022</v>
      </c>
      <c r="L31" s="20">
        <f>+L32+L33+L34</f>
        <v>2</v>
      </c>
      <c r="M31" s="20">
        <f>+M32+M33+M34</f>
        <v>1400</v>
      </c>
      <c r="N31" s="20"/>
      <c r="O31" s="20">
        <f>+O32+O33+O34</f>
        <v>0</v>
      </c>
      <c r="P31" s="21">
        <f>+P32+P33+P34</f>
        <v>1402</v>
      </c>
      <c r="Q31" s="18"/>
    </row>
    <row r="32" spans="1:17" ht="12.75" customHeight="1">
      <c r="A32" s="22" t="s">
        <v>16</v>
      </c>
      <c r="B32" s="29">
        <v>22676</v>
      </c>
      <c r="C32" s="29">
        <v>31193</v>
      </c>
      <c r="D32" s="29"/>
      <c r="E32" s="30"/>
      <c r="F32" s="24">
        <f>SUM(B32:E32)</f>
        <v>53869</v>
      </c>
      <c r="G32" s="29">
        <v>22675</v>
      </c>
      <c r="H32" s="29">
        <v>29793</v>
      </c>
      <c r="I32" s="29"/>
      <c r="J32" s="29"/>
      <c r="K32" s="24">
        <f>SUM(G32:J32)</f>
        <v>52468</v>
      </c>
      <c r="L32" s="25">
        <f t="shared" ref="L32:M34" si="17">+B32-G32</f>
        <v>1</v>
      </c>
      <c r="M32" s="25">
        <f t="shared" si="17"/>
        <v>1400</v>
      </c>
      <c r="N32" s="25"/>
      <c r="O32" s="25">
        <f>+E32-J32</f>
        <v>0</v>
      </c>
      <c r="P32" s="26">
        <f>SUM(L32:O32)</f>
        <v>1401</v>
      </c>
      <c r="Q32" s="18"/>
    </row>
    <row r="33" spans="1:17" ht="12.75" customHeight="1">
      <c r="A33" s="22" t="s">
        <v>17</v>
      </c>
      <c r="B33" s="29">
        <v>1364</v>
      </c>
      <c r="C33" s="34"/>
      <c r="D33" s="34"/>
      <c r="E33" s="30"/>
      <c r="F33" s="24">
        <f>SUM(B33:E33)</f>
        <v>1364</v>
      </c>
      <c r="G33" s="29">
        <v>1364</v>
      </c>
      <c r="H33" s="34"/>
      <c r="I33" s="34"/>
      <c r="J33" s="34"/>
      <c r="K33" s="24">
        <f>SUM(G33:J33)</f>
        <v>1364</v>
      </c>
      <c r="L33" s="25">
        <f t="shared" si="17"/>
        <v>0</v>
      </c>
      <c r="M33" s="25">
        <f t="shared" si="17"/>
        <v>0</v>
      </c>
      <c r="N33" s="25"/>
      <c r="O33" s="25">
        <f>+E33-J33</f>
        <v>0</v>
      </c>
      <c r="P33" s="26">
        <f>SUM(L33:O33)</f>
        <v>0</v>
      </c>
      <c r="Q33" s="18"/>
    </row>
    <row r="34" spans="1:17" ht="12.75" customHeight="1">
      <c r="A34" s="22" t="s">
        <v>18</v>
      </c>
      <c r="B34" s="29">
        <v>2191</v>
      </c>
      <c r="C34" s="34"/>
      <c r="D34" s="34"/>
      <c r="E34" s="35"/>
      <c r="F34" s="24">
        <f>SUM(B34:E34)</f>
        <v>2191</v>
      </c>
      <c r="G34" s="29">
        <v>2190</v>
      </c>
      <c r="H34" s="34"/>
      <c r="I34" s="34"/>
      <c r="J34" s="34"/>
      <c r="K34" s="24">
        <f>SUM(G34:J34)</f>
        <v>2190</v>
      </c>
      <c r="L34" s="25">
        <f t="shared" si="17"/>
        <v>1</v>
      </c>
      <c r="M34" s="25">
        <f t="shared" si="17"/>
        <v>0</v>
      </c>
      <c r="N34" s="25"/>
      <c r="O34" s="25">
        <f>+E34-J34</f>
        <v>0</v>
      </c>
      <c r="P34" s="26">
        <f>SUM(L34:O34)</f>
        <v>1</v>
      </c>
      <c r="Q34" s="18"/>
    </row>
    <row r="35" spans="1:17" ht="12.75" customHeight="1">
      <c r="A35" s="22" t="s">
        <v>19</v>
      </c>
      <c r="B35" s="27">
        <f t="shared" ref="B35:K35" si="18">+B36+B37</f>
        <v>0</v>
      </c>
      <c r="C35" s="27">
        <f t="shared" si="18"/>
        <v>2</v>
      </c>
      <c r="D35" s="27">
        <f t="shared" si="18"/>
        <v>0</v>
      </c>
      <c r="E35" s="27">
        <f t="shared" si="18"/>
        <v>0</v>
      </c>
      <c r="F35" s="27">
        <f t="shared" si="18"/>
        <v>2</v>
      </c>
      <c r="G35" s="27">
        <f t="shared" si="18"/>
        <v>0</v>
      </c>
      <c r="H35" s="27">
        <f t="shared" si="18"/>
        <v>0</v>
      </c>
      <c r="I35" s="27">
        <f t="shared" si="18"/>
        <v>0</v>
      </c>
      <c r="J35" s="27">
        <f t="shared" si="18"/>
        <v>0</v>
      </c>
      <c r="K35" s="27">
        <f t="shared" si="18"/>
        <v>0</v>
      </c>
      <c r="L35" s="27">
        <f t="shared" ref="L35:P35" si="19">+L36+L37</f>
        <v>0</v>
      </c>
      <c r="M35" s="27">
        <f t="shared" si="19"/>
        <v>2</v>
      </c>
      <c r="N35" s="27"/>
      <c r="O35" s="27">
        <f t="shared" si="19"/>
        <v>0</v>
      </c>
      <c r="P35" s="28">
        <f t="shared" si="19"/>
        <v>2</v>
      </c>
      <c r="Q35" s="18"/>
    </row>
    <row r="36" spans="1:17" ht="12.75" customHeight="1">
      <c r="A36" s="23" t="s">
        <v>20</v>
      </c>
      <c r="B36" s="29"/>
      <c r="C36" s="29">
        <v>2</v>
      </c>
      <c r="D36" s="29"/>
      <c r="E36" s="30"/>
      <c r="F36" s="24">
        <f>SUM(B36:E36)</f>
        <v>2</v>
      </c>
      <c r="G36" s="29"/>
      <c r="H36" s="29"/>
      <c r="I36" s="29"/>
      <c r="J36" s="29"/>
      <c r="K36" s="24">
        <f>SUM(G36:J36)</f>
        <v>0</v>
      </c>
      <c r="L36" s="25">
        <f>+B36-G36</f>
        <v>0</v>
      </c>
      <c r="M36" s="25">
        <f>+C36-H36</f>
        <v>2</v>
      </c>
      <c r="N36" s="25"/>
      <c r="O36" s="25">
        <f>+E36-J36</f>
        <v>0</v>
      </c>
      <c r="P36" s="26">
        <f>SUM(L36:O36)</f>
        <v>2</v>
      </c>
      <c r="Q36" s="18"/>
    </row>
    <row r="37" spans="1:17" ht="12.75" customHeight="1">
      <c r="A37" s="23" t="s">
        <v>21</v>
      </c>
      <c r="B37" s="29"/>
      <c r="C37" s="29"/>
      <c r="D37" s="29"/>
      <c r="E37" s="30"/>
      <c r="F37" s="24">
        <f>SUM(B37:E37)</f>
        <v>0</v>
      </c>
      <c r="G37" s="29"/>
      <c r="H37" s="29"/>
      <c r="I37" s="29"/>
      <c r="J37" s="29"/>
      <c r="K37" s="24">
        <f>SUM(G37:J37)</f>
        <v>0</v>
      </c>
      <c r="L37" s="25">
        <f>+B37-G37</f>
        <v>0</v>
      </c>
      <c r="M37" s="25">
        <f>+C37-H37</f>
        <v>0</v>
      </c>
      <c r="N37" s="25"/>
      <c r="O37" s="25">
        <f>+E37-J37</f>
        <v>0</v>
      </c>
      <c r="P37" s="26">
        <f>SUM(L37:O37)</f>
        <v>0</v>
      </c>
      <c r="Q37" s="18"/>
    </row>
    <row r="38" spans="1:17" ht="12.75" customHeight="1">
      <c r="A38" s="33"/>
      <c r="B38" s="25"/>
      <c r="C38" s="25"/>
      <c r="D38" s="25"/>
      <c r="E38" s="43"/>
      <c r="F38" s="24"/>
      <c r="G38" s="47"/>
      <c r="H38" s="47"/>
      <c r="I38" s="47"/>
      <c r="J38" s="47"/>
      <c r="K38" s="32"/>
      <c r="L38" s="25"/>
      <c r="M38" s="25"/>
      <c r="N38" s="25"/>
      <c r="O38" s="25"/>
      <c r="P38" s="26"/>
      <c r="Q38" s="18"/>
    </row>
    <row r="39" spans="1:17" ht="12.75" customHeight="1">
      <c r="A39" s="215" t="s">
        <v>33</v>
      </c>
      <c r="B39" s="17">
        <f t="shared" ref="B39:K39" si="20">+B40+B45+B44</f>
        <v>579119</v>
      </c>
      <c r="C39" s="17">
        <f t="shared" si="20"/>
        <v>4111285</v>
      </c>
      <c r="D39" s="17">
        <f t="shared" si="20"/>
        <v>0</v>
      </c>
      <c r="E39" s="17">
        <f t="shared" si="20"/>
        <v>1977977</v>
      </c>
      <c r="F39" s="17">
        <f t="shared" si="20"/>
        <v>6668381</v>
      </c>
      <c r="G39" s="17">
        <f t="shared" si="20"/>
        <v>461554</v>
      </c>
      <c r="H39" s="17">
        <f t="shared" si="20"/>
        <v>3496157</v>
      </c>
      <c r="I39" s="17">
        <f t="shared" si="20"/>
        <v>0</v>
      </c>
      <c r="J39" s="17">
        <f t="shared" si="20"/>
        <v>1057103</v>
      </c>
      <c r="K39" s="17">
        <f t="shared" si="20"/>
        <v>5014814</v>
      </c>
      <c r="L39" s="17">
        <f t="shared" ref="L39:P39" si="21">+L40+L45+L44</f>
        <v>117565</v>
      </c>
      <c r="M39" s="17">
        <f t="shared" si="21"/>
        <v>615128</v>
      </c>
      <c r="N39" s="17"/>
      <c r="O39" s="17">
        <f t="shared" si="21"/>
        <v>920874</v>
      </c>
      <c r="P39" s="17">
        <f t="shared" si="21"/>
        <v>1653567</v>
      </c>
      <c r="Q39" s="18">
        <f>+K39/F39</f>
        <v>0.75202871581572794</v>
      </c>
    </row>
    <row r="40" spans="1:17" ht="12.75" customHeight="1">
      <c r="A40" s="41" t="s">
        <v>15</v>
      </c>
      <c r="B40" s="20">
        <f t="shared" ref="B40:K40" si="22">+B41+B42+B43</f>
        <v>579119</v>
      </c>
      <c r="C40" s="20">
        <f t="shared" si="22"/>
        <v>2880038</v>
      </c>
      <c r="D40" s="20">
        <f t="shared" si="22"/>
        <v>0</v>
      </c>
      <c r="E40" s="20">
        <f t="shared" si="22"/>
        <v>1332378</v>
      </c>
      <c r="F40" s="20">
        <f t="shared" si="22"/>
        <v>4791535</v>
      </c>
      <c r="G40" s="20">
        <f t="shared" si="22"/>
        <v>461554</v>
      </c>
      <c r="H40" s="20">
        <f t="shared" si="22"/>
        <v>2342029</v>
      </c>
      <c r="I40" s="20">
        <f t="shared" si="22"/>
        <v>0</v>
      </c>
      <c r="J40" s="20">
        <f t="shared" si="22"/>
        <v>483392</v>
      </c>
      <c r="K40" s="20">
        <f t="shared" si="22"/>
        <v>3286975</v>
      </c>
      <c r="L40" s="20">
        <f>+L41+L42+L43</f>
        <v>117565</v>
      </c>
      <c r="M40" s="20">
        <f>+M41+M42+M43</f>
        <v>538009</v>
      </c>
      <c r="N40" s="20"/>
      <c r="O40" s="20">
        <f>+O41+O42+O43</f>
        <v>848986</v>
      </c>
      <c r="P40" s="21">
        <f>+P41+P42+P43</f>
        <v>1504560</v>
      </c>
      <c r="Q40" s="18"/>
    </row>
    <row r="41" spans="1:17" ht="12.75" customHeight="1">
      <c r="A41" s="22" t="s">
        <v>16</v>
      </c>
      <c r="B41" s="29">
        <v>520308</v>
      </c>
      <c r="C41" s="29">
        <v>2880038</v>
      </c>
      <c r="D41" s="29"/>
      <c r="E41" s="30">
        <v>1332378</v>
      </c>
      <c r="F41" s="24">
        <f>SUM(B41:E41)</f>
        <v>4732724</v>
      </c>
      <c r="G41" s="29">
        <f>403191+1455</f>
        <v>404646</v>
      </c>
      <c r="H41" s="29">
        <f>2320583+21446</f>
        <v>2342029</v>
      </c>
      <c r="I41" s="29"/>
      <c r="J41" s="29">
        <v>483392</v>
      </c>
      <c r="K41" s="24">
        <f>SUM(G41:J41)</f>
        <v>3230067</v>
      </c>
      <c r="L41" s="25">
        <f t="shared" ref="L41:M44" si="23">+B41-G41</f>
        <v>115662</v>
      </c>
      <c r="M41" s="25">
        <f t="shared" si="23"/>
        <v>538009</v>
      </c>
      <c r="N41" s="25"/>
      <c r="O41" s="25">
        <f>+E41-J41</f>
        <v>848986</v>
      </c>
      <c r="P41" s="26">
        <f>SUM(L41:O41)</f>
        <v>1502657</v>
      </c>
      <c r="Q41" s="18"/>
    </row>
    <row r="42" spans="1:17" ht="12.75" customHeight="1">
      <c r="A42" s="22" t="s">
        <v>17</v>
      </c>
      <c r="B42" s="29">
        <v>21409</v>
      </c>
      <c r="C42" s="29"/>
      <c r="D42" s="29"/>
      <c r="E42" s="30"/>
      <c r="F42" s="24">
        <f>SUM(B42:E42)</f>
        <v>21409</v>
      </c>
      <c r="G42" s="29">
        <f>22864-1455</f>
        <v>21409</v>
      </c>
      <c r="H42" s="29"/>
      <c r="I42" s="34"/>
      <c r="J42" s="34"/>
      <c r="K42" s="24">
        <f>SUM(G42:J42)</f>
        <v>21409</v>
      </c>
      <c r="L42" s="25">
        <f t="shared" si="23"/>
        <v>0</v>
      </c>
      <c r="M42" s="25">
        <f t="shared" si="23"/>
        <v>0</v>
      </c>
      <c r="N42" s="25"/>
      <c r="O42" s="25">
        <f>+E42-J42</f>
        <v>0</v>
      </c>
      <c r="P42" s="26">
        <f>SUM(L42:O42)</f>
        <v>0</v>
      </c>
      <c r="Q42" s="18"/>
    </row>
    <row r="43" spans="1:17" ht="12.75" customHeight="1">
      <c r="A43" s="22" t="s">
        <v>18</v>
      </c>
      <c r="B43" s="29">
        <v>37402</v>
      </c>
      <c r="C43" s="34"/>
      <c r="D43" s="34"/>
      <c r="E43" s="35"/>
      <c r="F43" s="24">
        <f>SUM(B43:E43)</f>
        <v>37402</v>
      </c>
      <c r="G43" s="29">
        <v>35499</v>
      </c>
      <c r="H43" s="29"/>
      <c r="I43" s="34"/>
      <c r="J43" s="34"/>
      <c r="K43" s="24">
        <f>SUM(G43:J43)</f>
        <v>35499</v>
      </c>
      <c r="L43" s="25">
        <f t="shared" si="23"/>
        <v>1903</v>
      </c>
      <c r="M43" s="25">
        <f t="shared" si="23"/>
        <v>0</v>
      </c>
      <c r="N43" s="25"/>
      <c r="O43" s="25">
        <f>+E43-J43</f>
        <v>0</v>
      </c>
      <c r="P43" s="26">
        <f>SUM(L43:O43)</f>
        <v>1903</v>
      </c>
      <c r="Q43" s="18"/>
    </row>
    <row r="44" spans="1:17" ht="12.75" customHeight="1">
      <c r="A44" s="41" t="s">
        <v>30</v>
      </c>
      <c r="B44" s="29"/>
      <c r="C44" s="29">
        <v>34812</v>
      </c>
      <c r="D44" s="29"/>
      <c r="E44" s="35"/>
      <c r="F44" s="24">
        <f>SUM(B44:E44)</f>
        <v>34812</v>
      </c>
      <c r="G44" s="29"/>
      <c r="H44" s="29">
        <v>31896</v>
      </c>
      <c r="I44" s="34"/>
      <c r="J44" s="34"/>
      <c r="K44" s="24">
        <f>SUM(G44:J44)</f>
        <v>31896</v>
      </c>
      <c r="L44" s="25">
        <f t="shared" si="23"/>
        <v>0</v>
      </c>
      <c r="M44" s="25">
        <f t="shared" si="23"/>
        <v>2916</v>
      </c>
      <c r="N44" s="25"/>
      <c r="O44" s="25">
        <f>+E44-J44</f>
        <v>0</v>
      </c>
      <c r="P44" s="26">
        <f>SUM(L44:O44)</f>
        <v>2916</v>
      </c>
      <c r="Q44" s="18"/>
    </row>
    <row r="45" spans="1:17" ht="12.75" customHeight="1">
      <c r="A45" s="22" t="s">
        <v>19</v>
      </c>
      <c r="B45" s="27">
        <f t="shared" ref="B45:K45" si="24">+B46+B47</f>
        <v>0</v>
      </c>
      <c r="C45" s="27">
        <f t="shared" si="24"/>
        <v>1196435</v>
      </c>
      <c r="D45" s="27">
        <f t="shared" si="24"/>
        <v>0</v>
      </c>
      <c r="E45" s="27">
        <f t="shared" si="24"/>
        <v>645599</v>
      </c>
      <c r="F45" s="27">
        <f t="shared" si="24"/>
        <v>1842034</v>
      </c>
      <c r="G45" s="27">
        <f t="shared" si="24"/>
        <v>0</v>
      </c>
      <c r="H45" s="27">
        <f t="shared" si="24"/>
        <v>1122232</v>
      </c>
      <c r="I45" s="27">
        <f t="shared" si="24"/>
        <v>0</v>
      </c>
      <c r="J45" s="27">
        <f t="shared" si="24"/>
        <v>573711</v>
      </c>
      <c r="K45" s="27">
        <f t="shared" si="24"/>
        <v>1695943</v>
      </c>
      <c r="L45" s="27">
        <f t="shared" ref="L45:P45" si="25">+L46+L47</f>
        <v>0</v>
      </c>
      <c r="M45" s="27">
        <f t="shared" si="25"/>
        <v>74203</v>
      </c>
      <c r="N45" s="27"/>
      <c r="O45" s="27">
        <f t="shared" si="25"/>
        <v>71888</v>
      </c>
      <c r="P45" s="28">
        <f t="shared" si="25"/>
        <v>146091</v>
      </c>
      <c r="Q45" s="18"/>
    </row>
    <row r="46" spans="1:17" ht="12.75" customHeight="1">
      <c r="A46" s="23" t="s">
        <v>20</v>
      </c>
      <c r="B46" s="29"/>
      <c r="C46" s="29">
        <f>87454+301+1108680</f>
        <v>1196435</v>
      </c>
      <c r="D46" s="29"/>
      <c r="E46" s="30">
        <f>48559+597040</f>
        <v>645599</v>
      </c>
      <c r="F46" s="24">
        <f>SUM(B46:E46)</f>
        <v>1842034</v>
      </c>
      <c r="G46" s="29"/>
      <c r="H46" s="29">
        <v>1122232</v>
      </c>
      <c r="I46" s="29"/>
      <c r="J46" s="29">
        <v>573711</v>
      </c>
      <c r="K46" s="24">
        <f>SUM(G46:J46)</f>
        <v>1695943</v>
      </c>
      <c r="L46" s="25">
        <f>+B46-G46</f>
        <v>0</v>
      </c>
      <c r="M46" s="25">
        <f>+C46-H46</f>
        <v>74203</v>
      </c>
      <c r="N46" s="25"/>
      <c r="O46" s="25">
        <f>+E46-J46</f>
        <v>71888</v>
      </c>
      <c r="P46" s="26">
        <f>SUM(L46:O46)</f>
        <v>146091</v>
      </c>
      <c r="Q46" s="18"/>
    </row>
    <row r="47" spans="1:17" ht="12.75" customHeight="1">
      <c r="A47" s="23" t="s">
        <v>21</v>
      </c>
      <c r="B47" s="29"/>
      <c r="C47" s="29"/>
      <c r="D47" s="29"/>
      <c r="E47" s="30"/>
      <c r="F47" s="24">
        <f>SUM(B47:E47)</f>
        <v>0</v>
      </c>
      <c r="G47" s="29"/>
      <c r="H47" s="29"/>
      <c r="I47" s="29"/>
      <c r="J47" s="29"/>
      <c r="K47" s="24">
        <f>SUM(G47:J47)</f>
        <v>0</v>
      </c>
      <c r="L47" s="25">
        <f>+B47-G47</f>
        <v>0</v>
      </c>
      <c r="M47" s="25">
        <f>+C47-H47</f>
        <v>0</v>
      </c>
      <c r="N47" s="25"/>
      <c r="O47" s="25">
        <f>+E47-J47</f>
        <v>0</v>
      </c>
      <c r="P47" s="26">
        <f>SUM(L47:O47)</f>
        <v>0</v>
      </c>
      <c r="Q47" s="18"/>
    </row>
    <row r="48" spans="1:17" ht="12.75" customHeight="1">
      <c r="A48" s="33"/>
      <c r="B48" s="25"/>
      <c r="C48" s="25"/>
      <c r="D48" s="25"/>
      <c r="E48" s="43"/>
      <c r="F48" s="24"/>
      <c r="G48" s="47"/>
      <c r="H48" s="47"/>
      <c r="I48" s="47"/>
      <c r="J48" s="47"/>
      <c r="K48" s="32"/>
      <c r="L48" s="25"/>
      <c r="M48" s="25"/>
      <c r="N48" s="25"/>
      <c r="O48" s="25"/>
      <c r="P48" s="26"/>
      <c r="Q48" s="18"/>
    </row>
    <row r="49" spans="1:17" ht="12.75" customHeight="1">
      <c r="A49" s="33" t="s">
        <v>34</v>
      </c>
      <c r="B49" s="17">
        <f t="shared" ref="B49:K49" si="26">+B50+B54</f>
        <v>97271</v>
      </c>
      <c r="C49" s="17">
        <f t="shared" si="26"/>
        <v>12851</v>
      </c>
      <c r="D49" s="17">
        <f t="shared" si="26"/>
        <v>0</v>
      </c>
      <c r="E49" s="17">
        <f t="shared" si="26"/>
        <v>0</v>
      </c>
      <c r="F49" s="17">
        <f t="shared" si="26"/>
        <v>110122</v>
      </c>
      <c r="G49" s="17">
        <f t="shared" si="26"/>
        <v>71727</v>
      </c>
      <c r="H49" s="17">
        <f t="shared" si="26"/>
        <v>12426</v>
      </c>
      <c r="I49" s="17">
        <f t="shared" si="26"/>
        <v>0</v>
      </c>
      <c r="J49" s="17">
        <f t="shared" si="26"/>
        <v>0</v>
      </c>
      <c r="K49" s="17">
        <f t="shared" si="26"/>
        <v>84153</v>
      </c>
      <c r="L49" s="17">
        <f>+L50+L54</f>
        <v>25544</v>
      </c>
      <c r="M49" s="17">
        <f>+M50+M54</f>
        <v>425</v>
      </c>
      <c r="N49" s="17"/>
      <c r="O49" s="17">
        <f>+O50+O54</f>
        <v>0</v>
      </c>
      <c r="P49" s="17">
        <f>+P50+P54</f>
        <v>25969</v>
      </c>
      <c r="Q49" s="18">
        <f>+K49/F49</f>
        <v>0.76417972793810496</v>
      </c>
    </row>
    <row r="50" spans="1:17" ht="12.75" customHeight="1">
      <c r="A50" s="41" t="s">
        <v>15</v>
      </c>
      <c r="B50" s="20">
        <f t="shared" ref="B50:K50" si="27">+B51+B52+B53</f>
        <v>97271</v>
      </c>
      <c r="C50" s="20">
        <f t="shared" si="27"/>
        <v>11622</v>
      </c>
      <c r="D50" s="20">
        <f t="shared" si="27"/>
        <v>0</v>
      </c>
      <c r="E50" s="20">
        <f t="shared" si="27"/>
        <v>0</v>
      </c>
      <c r="F50" s="20">
        <f t="shared" si="27"/>
        <v>108893</v>
      </c>
      <c r="G50" s="20">
        <f t="shared" si="27"/>
        <v>71727</v>
      </c>
      <c r="H50" s="20">
        <f t="shared" si="27"/>
        <v>11197</v>
      </c>
      <c r="I50" s="20">
        <f t="shared" si="27"/>
        <v>0</v>
      </c>
      <c r="J50" s="20">
        <f t="shared" si="27"/>
        <v>0</v>
      </c>
      <c r="K50" s="20">
        <f t="shared" si="27"/>
        <v>82924</v>
      </c>
      <c r="L50" s="20">
        <f>+L51+L52+L53</f>
        <v>25544</v>
      </c>
      <c r="M50" s="20">
        <f>+M51+M52+M53</f>
        <v>425</v>
      </c>
      <c r="N50" s="20"/>
      <c r="O50" s="20">
        <f>+O51+O52+O53</f>
        <v>0</v>
      </c>
      <c r="P50" s="21">
        <f>+P51+P52+P53</f>
        <v>25969</v>
      </c>
      <c r="Q50" s="18"/>
    </row>
    <row r="51" spans="1:17" ht="12.75" customHeight="1">
      <c r="A51" s="22" t="s">
        <v>16</v>
      </c>
      <c r="B51" s="29">
        <v>45714</v>
      </c>
      <c r="C51" s="29">
        <v>11622</v>
      </c>
      <c r="D51" s="29"/>
      <c r="E51" s="30"/>
      <c r="F51" s="24">
        <f>SUM(B51:E51)</f>
        <v>57336</v>
      </c>
      <c r="G51" s="29">
        <v>22899</v>
      </c>
      <c r="H51" s="29">
        <v>11197</v>
      </c>
      <c r="I51" s="29"/>
      <c r="J51" s="29"/>
      <c r="K51" s="24">
        <f>SUM(G51:J51)</f>
        <v>34096</v>
      </c>
      <c r="L51" s="25">
        <f t="shared" ref="L51:M53" si="28">+B51-G51</f>
        <v>22815</v>
      </c>
      <c r="M51" s="25">
        <f t="shared" si="28"/>
        <v>425</v>
      </c>
      <c r="N51" s="25"/>
      <c r="O51" s="25">
        <f>+E51-J51</f>
        <v>0</v>
      </c>
      <c r="P51" s="26">
        <f>SUM(L51:O51)</f>
        <v>23240</v>
      </c>
      <c r="Q51" s="18"/>
    </row>
    <row r="52" spans="1:17" ht="12.75" customHeight="1">
      <c r="A52" s="22" t="s">
        <v>17</v>
      </c>
      <c r="B52" s="29">
        <v>46954</v>
      </c>
      <c r="C52" s="34"/>
      <c r="D52" s="34"/>
      <c r="E52" s="30"/>
      <c r="F52" s="24">
        <f>SUM(B52:E52)</f>
        <v>46954</v>
      </c>
      <c r="G52" s="29">
        <v>46954</v>
      </c>
      <c r="H52" s="34"/>
      <c r="I52" s="34"/>
      <c r="J52" s="34"/>
      <c r="K52" s="24">
        <f>SUM(G52:J52)</f>
        <v>46954</v>
      </c>
      <c r="L52" s="25">
        <f t="shared" si="28"/>
        <v>0</v>
      </c>
      <c r="M52" s="25">
        <f t="shared" si="28"/>
        <v>0</v>
      </c>
      <c r="N52" s="25"/>
      <c r="O52" s="25">
        <f>+E52-J52</f>
        <v>0</v>
      </c>
      <c r="P52" s="26">
        <f>SUM(L52:O52)</f>
        <v>0</v>
      </c>
      <c r="Q52" s="18"/>
    </row>
    <row r="53" spans="1:17" ht="12.75" customHeight="1">
      <c r="A53" s="22" t="s">
        <v>18</v>
      </c>
      <c r="B53" s="29">
        <v>4603</v>
      </c>
      <c r="C53" s="34"/>
      <c r="D53" s="34"/>
      <c r="E53" s="35"/>
      <c r="F53" s="24">
        <f>SUM(B53:E53)</f>
        <v>4603</v>
      </c>
      <c r="G53" s="29">
        <v>1874</v>
      </c>
      <c r="H53" s="34"/>
      <c r="I53" s="34"/>
      <c r="J53" s="34"/>
      <c r="K53" s="24">
        <f>SUM(G53:J53)</f>
        <v>1874</v>
      </c>
      <c r="L53" s="25">
        <f t="shared" si="28"/>
        <v>2729</v>
      </c>
      <c r="M53" s="25">
        <f t="shared" si="28"/>
        <v>0</v>
      </c>
      <c r="N53" s="25"/>
      <c r="O53" s="25">
        <f>+E53-J53</f>
        <v>0</v>
      </c>
      <c r="P53" s="26">
        <f>SUM(L53:O53)</f>
        <v>2729</v>
      </c>
      <c r="Q53" s="18"/>
    </row>
    <row r="54" spans="1:17" ht="12.75" customHeight="1">
      <c r="A54" s="22" t="s">
        <v>19</v>
      </c>
      <c r="B54" s="27">
        <f t="shared" ref="B54:K54" si="29">+B55+B56</f>
        <v>0</v>
      </c>
      <c r="C54" s="27">
        <f t="shared" si="29"/>
        <v>1229</v>
      </c>
      <c r="D54" s="27">
        <f t="shared" si="29"/>
        <v>0</v>
      </c>
      <c r="E54" s="27">
        <f t="shared" si="29"/>
        <v>0</v>
      </c>
      <c r="F54" s="27">
        <f t="shared" si="29"/>
        <v>1229</v>
      </c>
      <c r="G54" s="27">
        <f t="shared" si="29"/>
        <v>0</v>
      </c>
      <c r="H54" s="27">
        <f t="shared" si="29"/>
        <v>1229</v>
      </c>
      <c r="I54" s="27">
        <f t="shared" si="29"/>
        <v>0</v>
      </c>
      <c r="J54" s="27">
        <f t="shared" si="29"/>
        <v>0</v>
      </c>
      <c r="K54" s="27">
        <f t="shared" si="29"/>
        <v>1229</v>
      </c>
      <c r="L54" s="27">
        <f t="shared" ref="L54:P54" si="30">+L55+L56</f>
        <v>0</v>
      </c>
      <c r="M54" s="27">
        <f t="shared" si="30"/>
        <v>0</v>
      </c>
      <c r="N54" s="27"/>
      <c r="O54" s="27">
        <f t="shared" si="30"/>
        <v>0</v>
      </c>
      <c r="P54" s="28">
        <f t="shared" si="30"/>
        <v>0</v>
      </c>
      <c r="Q54" s="18"/>
    </row>
    <row r="55" spans="1:17" ht="12.75" customHeight="1">
      <c r="A55" s="23" t="s">
        <v>20</v>
      </c>
      <c r="B55" s="29"/>
      <c r="C55" s="29">
        <v>1229</v>
      </c>
      <c r="D55" s="29"/>
      <c r="E55" s="30"/>
      <c r="F55" s="24">
        <f>SUM(B55:E55)</f>
        <v>1229</v>
      </c>
      <c r="G55" s="29"/>
      <c r="H55" s="29">
        <v>1229</v>
      </c>
      <c r="I55" s="29"/>
      <c r="J55" s="29"/>
      <c r="K55" s="24">
        <f>SUM(G55:J55)</f>
        <v>1229</v>
      </c>
      <c r="L55" s="25">
        <f>+B55-G55</f>
        <v>0</v>
      </c>
      <c r="M55" s="25">
        <f>+C55-H55</f>
        <v>0</v>
      </c>
      <c r="N55" s="25"/>
      <c r="O55" s="25">
        <f>+E55-J55</f>
        <v>0</v>
      </c>
      <c r="P55" s="26">
        <f>SUM(L55:O55)</f>
        <v>0</v>
      </c>
      <c r="Q55" s="18"/>
    </row>
    <row r="56" spans="1:17" ht="12.75" customHeight="1">
      <c r="A56" s="23" t="s">
        <v>21</v>
      </c>
      <c r="B56" s="29"/>
      <c r="C56" s="29"/>
      <c r="D56" s="29"/>
      <c r="E56" s="30"/>
      <c r="F56" s="24">
        <f>SUM(B56:E56)</f>
        <v>0</v>
      </c>
      <c r="G56" s="29"/>
      <c r="H56" s="29"/>
      <c r="I56" s="29"/>
      <c r="J56" s="29"/>
      <c r="K56" s="24">
        <f>SUM(G56:J56)</f>
        <v>0</v>
      </c>
      <c r="L56" s="25">
        <f>+B56-G56</f>
        <v>0</v>
      </c>
      <c r="M56" s="25">
        <f>+C56-H56</f>
        <v>0</v>
      </c>
      <c r="N56" s="25"/>
      <c r="O56" s="25">
        <f>+E56-J56</f>
        <v>0</v>
      </c>
      <c r="P56" s="26">
        <f>SUM(L56:O56)</f>
        <v>0</v>
      </c>
      <c r="Q56" s="18"/>
    </row>
    <row r="57" spans="1:17" ht="12.75" customHeight="1">
      <c r="A57" s="217"/>
      <c r="B57" s="44"/>
      <c r="C57" s="44"/>
      <c r="D57" s="44"/>
      <c r="E57" s="45"/>
      <c r="F57" s="77"/>
      <c r="G57" s="84"/>
      <c r="H57" s="84"/>
      <c r="I57" s="84"/>
      <c r="J57" s="84"/>
      <c r="K57" s="82"/>
      <c r="L57" s="44"/>
      <c r="M57" s="44"/>
      <c r="N57" s="44"/>
      <c r="O57" s="44"/>
      <c r="P57" s="75"/>
      <c r="Q57" s="76"/>
    </row>
    <row r="58" spans="1:17" ht="12.75" customHeight="1">
      <c r="A58" s="33" t="s">
        <v>35</v>
      </c>
      <c r="B58" s="17">
        <f t="shared" ref="B58:K58" si="31">+B59+B63</f>
        <v>35009</v>
      </c>
      <c r="C58" s="17">
        <f t="shared" si="31"/>
        <v>26915</v>
      </c>
      <c r="D58" s="17">
        <f t="shared" si="31"/>
        <v>0</v>
      </c>
      <c r="E58" s="17">
        <f t="shared" si="31"/>
        <v>900</v>
      </c>
      <c r="F58" s="17">
        <f t="shared" si="31"/>
        <v>62824</v>
      </c>
      <c r="G58" s="17">
        <f t="shared" si="31"/>
        <v>33234</v>
      </c>
      <c r="H58" s="17">
        <f t="shared" si="31"/>
        <v>23196</v>
      </c>
      <c r="I58" s="17">
        <f t="shared" si="31"/>
        <v>0</v>
      </c>
      <c r="J58" s="17">
        <f t="shared" si="31"/>
        <v>471</v>
      </c>
      <c r="K58" s="17">
        <f t="shared" si="31"/>
        <v>56901</v>
      </c>
      <c r="L58" s="17">
        <f>+L59+L63</f>
        <v>1775</v>
      </c>
      <c r="M58" s="17">
        <f>+M59+M63</f>
        <v>3719</v>
      </c>
      <c r="N58" s="17"/>
      <c r="O58" s="17">
        <f>+O59+O63</f>
        <v>429</v>
      </c>
      <c r="P58" s="17">
        <f>+P59+P63</f>
        <v>5923</v>
      </c>
      <c r="Q58" s="18">
        <f>+K58/F58</f>
        <v>0.90572074366484145</v>
      </c>
    </row>
    <row r="59" spans="1:17" ht="12.75" customHeight="1">
      <c r="A59" s="41" t="s">
        <v>15</v>
      </c>
      <c r="B59" s="20">
        <f t="shared" ref="B59:K59" si="32">+B60+B61+B62</f>
        <v>35009</v>
      </c>
      <c r="C59" s="20">
        <f t="shared" si="32"/>
        <v>24955</v>
      </c>
      <c r="D59" s="20">
        <f t="shared" si="32"/>
        <v>0</v>
      </c>
      <c r="E59" s="20">
        <f t="shared" si="32"/>
        <v>900</v>
      </c>
      <c r="F59" s="20">
        <f t="shared" si="32"/>
        <v>60864</v>
      </c>
      <c r="G59" s="20">
        <f t="shared" si="32"/>
        <v>33234</v>
      </c>
      <c r="H59" s="20">
        <f t="shared" si="32"/>
        <v>21236</v>
      </c>
      <c r="I59" s="20">
        <f t="shared" si="32"/>
        <v>0</v>
      </c>
      <c r="J59" s="20">
        <f t="shared" si="32"/>
        <v>471</v>
      </c>
      <c r="K59" s="20">
        <f t="shared" si="32"/>
        <v>54941</v>
      </c>
      <c r="L59" s="20">
        <f>+L60+L61+L62</f>
        <v>1775</v>
      </c>
      <c r="M59" s="20">
        <f>+M60+M61+M62</f>
        <v>3719</v>
      </c>
      <c r="N59" s="20"/>
      <c r="O59" s="20">
        <f>+O60+O61+O62</f>
        <v>429</v>
      </c>
      <c r="P59" s="21">
        <f>+P60+P61+P62</f>
        <v>5923</v>
      </c>
      <c r="Q59" s="18"/>
    </row>
    <row r="60" spans="1:17" ht="12.75" customHeight="1">
      <c r="A60" s="22" t="s">
        <v>16</v>
      </c>
      <c r="B60" s="29">
        <v>28960</v>
      </c>
      <c r="C60" s="29">
        <v>24955</v>
      </c>
      <c r="D60" s="29"/>
      <c r="E60" s="30">
        <v>900</v>
      </c>
      <c r="F60" s="24">
        <f>SUM(B60:E60)</f>
        <v>54815</v>
      </c>
      <c r="G60" s="29">
        <v>27185</v>
      </c>
      <c r="H60" s="29">
        <v>21236</v>
      </c>
      <c r="I60" s="29"/>
      <c r="J60" s="29">
        <v>471</v>
      </c>
      <c r="K60" s="24">
        <f>SUM(G60:J60)</f>
        <v>48892</v>
      </c>
      <c r="L60" s="25">
        <f t="shared" ref="L60:M62" si="33">+B60-G60</f>
        <v>1775</v>
      </c>
      <c r="M60" s="25">
        <f t="shared" si="33"/>
        <v>3719</v>
      </c>
      <c r="N60" s="25"/>
      <c r="O60" s="25">
        <f>+E60-J60</f>
        <v>429</v>
      </c>
      <c r="P60" s="26">
        <f>SUM(L60:O60)</f>
        <v>5923</v>
      </c>
      <c r="Q60" s="18"/>
    </row>
    <row r="61" spans="1:17" ht="12.75" customHeight="1">
      <c r="A61" s="22" t="s">
        <v>17</v>
      </c>
      <c r="B61" s="29">
        <v>3357</v>
      </c>
      <c r="C61" s="34"/>
      <c r="D61" s="34"/>
      <c r="E61" s="30"/>
      <c r="F61" s="24">
        <f>SUM(B61:E61)</f>
        <v>3357</v>
      </c>
      <c r="G61" s="29">
        <v>3357</v>
      </c>
      <c r="H61" s="34"/>
      <c r="I61" s="34"/>
      <c r="J61" s="34"/>
      <c r="K61" s="24">
        <f>SUM(G61:J61)</f>
        <v>3357</v>
      </c>
      <c r="L61" s="25">
        <f t="shared" si="33"/>
        <v>0</v>
      </c>
      <c r="M61" s="25">
        <f t="shared" si="33"/>
        <v>0</v>
      </c>
      <c r="N61" s="25"/>
      <c r="O61" s="25">
        <f>+E61-J61</f>
        <v>0</v>
      </c>
      <c r="P61" s="26">
        <f>SUM(L61:O61)</f>
        <v>0</v>
      </c>
      <c r="Q61" s="18"/>
    </row>
    <row r="62" spans="1:17" ht="12.75" customHeight="1">
      <c r="A62" s="22" t="s">
        <v>18</v>
      </c>
      <c r="B62" s="29">
        <v>2692</v>
      </c>
      <c r="C62" s="34"/>
      <c r="D62" s="34"/>
      <c r="E62" s="35"/>
      <c r="F62" s="24">
        <f>SUM(B62:E62)</f>
        <v>2692</v>
      </c>
      <c r="G62" s="29">
        <v>2692</v>
      </c>
      <c r="H62" s="34"/>
      <c r="I62" s="34"/>
      <c r="J62" s="34"/>
      <c r="K62" s="24">
        <f>SUM(G62:J62)</f>
        <v>2692</v>
      </c>
      <c r="L62" s="25">
        <f t="shared" si="33"/>
        <v>0</v>
      </c>
      <c r="M62" s="25">
        <f t="shared" si="33"/>
        <v>0</v>
      </c>
      <c r="N62" s="25"/>
      <c r="O62" s="25">
        <f>+E62-J62</f>
        <v>0</v>
      </c>
      <c r="P62" s="26">
        <f>SUM(L62:O62)</f>
        <v>0</v>
      </c>
      <c r="Q62" s="18"/>
    </row>
    <row r="63" spans="1:17" ht="12.75" customHeight="1">
      <c r="A63" s="22" t="s">
        <v>19</v>
      </c>
      <c r="B63" s="27">
        <f t="shared" ref="B63:K63" si="34">+B64+B65</f>
        <v>0</v>
      </c>
      <c r="C63" s="27">
        <f t="shared" si="34"/>
        <v>1960</v>
      </c>
      <c r="D63" s="27">
        <f t="shared" si="34"/>
        <v>0</v>
      </c>
      <c r="E63" s="27">
        <f t="shared" si="34"/>
        <v>0</v>
      </c>
      <c r="F63" s="27">
        <f t="shared" si="34"/>
        <v>1960</v>
      </c>
      <c r="G63" s="27">
        <f t="shared" si="34"/>
        <v>0</v>
      </c>
      <c r="H63" s="27">
        <f t="shared" si="34"/>
        <v>1960</v>
      </c>
      <c r="I63" s="27">
        <f t="shared" si="34"/>
        <v>0</v>
      </c>
      <c r="J63" s="27">
        <f t="shared" si="34"/>
        <v>0</v>
      </c>
      <c r="K63" s="27">
        <f t="shared" si="34"/>
        <v>1960</v>
      </c>
      <c r="L63" s="27">
        <f t="shared" ref="L63:P63" si="35">+L64+L65</f>
        <v>0</v>
      </c>
      <c r="M63" s="27">
        <f t="shared" si="35"/>
        <v>0</v>
      </c>
      <c r="N63" s="27"/>
      <c r="O63" s="27">
        <f t="shared" si="35"/>
        <v>0</v>
      </c>
      <c r="P63" s="28">
        <f t="shared" si="35"/>
        <v>0</v>
      </c>
      <c r="Q63" s="18"/>
    </row>
    <row r="64" spans="1:17" ht="12.75" customHeight="1">
      <c r="A64" s="23" t="s">
        <v>20</v>
      </c>
      <c r="B64" s="29"/>
      <c r="C64" s="29">
        <f>1398+562</f>
        <v>1960</v>
      </c>
      <c r="D64" s="29"/>
      <c r="E64" s="30"/>
      <c r="F64" s="24">
        <f>SUM(B64:E64)</f>
        <v>1960</v>
      </c>
      <c r="G64" s="29"/>
      <c r="H64" s="29">
        <v>1960</v>
      </c>
      <c r="I64" s="29"/>
      <c r="J64" s="29"/>
      <c r="K64" s="24">
        <f>SUM(G64:J64)</f>
        <v>1960</v>
      </c>
      <c r="L64" s="25">
        <f>+B64-G64</f>
        <v>0</v>
      </c>
      <c r="M64" s="25">
        <f>+C64-H64</f>
        <v>0</v>
      </c>
      <c r="N64" s="25"/>
      <c r="O64" s="25">
        <f>+E64-J64</f>
        <v>0</v>
      </c>
      <c r="P64" s="26">
        <f>SUM(L64:O64)</f>
        <v>0</v>
      </c>
      <c r="Q64" s="18"/>
    </row>
    <row r="65" spans="1:17" ht="12.75" customHeight="1">
      <c r="A65" s="23" t="s">
        <v>21</v>
      </c>
      <c r="B65" s="29"/>
      <c r="C65" s="29"/>
      <c r="D65" s="29"/>
      <c r="E65" s="30"/>
      <c r="F65" s="24">
        <f>SUM(B65:E65)</f>
        <v>0</v>
      </c>
      <c r="G65" s="31"/>
      <c r="H65" s="31"/>
      <c r="I65" s="31"/>
      <c r="J65" s="31"/>
      <c r="K65" s="32">
        <f>SUM(G65:J65)</f>
        <v>0</v>
      </c>
      <c r="L65" s="25">
        <f>+B65-G65</f>
        <v>0</v>
      </c>
      <c r="M65" s="25">
        <f>+C65-H65</f>
        <v>0</v>
      </c>
      <c r="N65" s="25"/>
      <c r="O65" s="25">
        <f>+E65-J65</f>
        <v>0</v>
      </c>
      <c r="P65" s="26">
        <f>SUM(L65:O65)</f>
        <v>0</v>
      </c>
      <c r="Q65" s="18"/>
    </row>
    <row r="66" spans="1:17" ht="12.75" customHeight="1">
      <c r="A66" s="33"/>
      <c r="B66" s="25"/>
      <c r="C66" s="25"/>
      <c r="D66" s="25"/>
      <c r="E66" s="43"/>
      <c r="F66" s="24"/>
      <c r="G66" s="47"/>
      <c r="H66" s="47"/>
      <c r="I66" s="47"/>
      <c r="J66" s="47"/>
      <c r="K66" s="32"/>
      <c r="L66" s="25"/>
      <c r="M66" s="25"/>
      <c r="N66" s="25"/>
      <c r="O66" s="25"/>
      <c r="P66" s="26"/>
      <c r="Q66" s="18"/>
    </row>
    <row r="67" spans="1:17" ht="12.75" customHeight="1">
      <c r="A67" s="33" t="s">
        <v>36</v>
      </c>
      <c r="B67" s="17">
        <f t="shared" ref="B67:K67" si="36">+B68+B72</f>
        <v>264686</v>
      </c>
      <c r="C67" s="17">
        <f t="shared" si="36"/>
        <v>83829</v>
      </c>
      <c r="D67" s="17">
        <f t="shared" si="36"/>
        <v>0</v>
      </c>
      <c r="E67" s="17">
        <f t="shared" si="36"/>
        <v>415</v>
      </c>
      <c r="F67" s="17">
        <f t="shared" si="36"/>
        <v>348930</v>
      </c>
      <c r="G67" s="17">
        <f t="shared" si="36"/>
        <v>217415</v>
      </c>
      <c r="H67" s="17">
        <f t="shared" si="36"/>
        <v>80747</v>
      </c>
      <c r="I67" s="17">
        <f t="shared" si="36"/>
        <v>0</v>
      </c>
      <c r="J67" s="17">
        <f t="shared" si="36"/>
        <v>303</v>
      </c>
      <c r="K67" s="17">
        <f t="shared" si="36"/>
        <v>298465</v>
      </c>
      <c r="L67" s="17">
        <f>+L68+L72</f>
        <v>47271</v>
      </c>
      <c r="M67" s="17">
        <f>+M68+M72</f>
        <v>3082</v>
      </c>
      <c r="N67" s="17"/>
      <c r="O67" s="17">
        <f>+O68+O72</f>
        <v>112</v>
      </c>
      <c r="P67" s="17">
        <f>+P68+P72</f>
        <v>50465</v>
      </c>
      <c r="Q67" s="18">
        <f>+K67/F67</f>
        <v>0.85537213767804432</v>
      </c>
    </row>
    <row r="68" spans="1:17" ht="12.75" customHeight="1">
      <c r="A68" s="41" t="s">
        <v>15</v>
      </c>
      <c r="B68" s="20">
        <f t="shared" ref="B68:K68" si="37">+B69+B70+B71</f>
        <v>264686</v>
      </c>
      <c r="C68" s="20">
        <f t="shared" si="37"/>
        <v>82340</v>
      </c>
      <c r="D68" s="20">
        <f t="shared" si="37"/>
        <v>0</v>
      </c>
      <c r="E68" s="20">
        <f t="shared" si="37"/>
        <v>0</v>
      </c>
      <c r="F68" s="20">
        <f t="shared" si="37"/>
        <v>347026</v>
      </c>
      <c r="G68" s="20">
        <f t="shared" si="37"/>
        <v>217415</v>
      </c>
      <c r="H68" s="20">
        <f t="shared" si="37"/>
        <v>79258</v>
      </c>
      <c r="I68" s="20">
        <f t="shared" si="37"/>
        <v>0</v>
      </c>
      <c r="J68" s="20">
        <f t="shared" si="37"/>
        <v>0</v>
      </c>
      <c r="K68" s="20">
        <f t="shared" si="37"/>
        <v>296673</v>
      </c>
      <c r="L68" s="20">
        <f>+L69+L70+L71</f>
        <v>47271</v>
      </c>
      <c r="M68" s="20">
        <f>+M69+M70+M71</f>
        <v>3082</v>
      </c>
      <c r="N68" s="20"/>
      <c r="O68" s="20">
        <f>+O69+O70+O71</f>
        <v>0</v>
      </c>
      <c r="P68" s="21">
        <f>+P69+P70+P71</f>
        <v>50353</v>
      </c>
      <c r="Q68" s="18"/>
    </row>
    <row r="69" spans="1:17" ht="12.75" customHeight="1">
      <c r="A69" s="22" t="s">
        <v>16</v>
      </c>
      <c r="B69" s="29">
        <v>146124</v>
      </c>
      <c r="C69" s="29">
        <v>82340</v>
      </c>
      <c r="D69" s="29"/>
      <c r="E69" s="30"/>
      <c r="F69" s="24">
        <f>SUM(B69:E69)</f>
        <v>228464</v>
      </c>
      <c r="G69" s="29">
        <f>104168+1</f>
        <v>104169</v>
      </c>
      <c r="H69" s="29">
        <v>79258</v>
      </c>
      <c r="I69" s="29"/>
      <c r="J69" s="29"/>
      <c r="K69" s="24">
        <f>SUM(G69:J69)</f>
        <v>183427</v>
      </c>
      <c r="L69" s="25">
        <f t="shared" ref="L69:M71" si="38">+B69-G69</f>
        <v>41955</v>
      </c>
      <c r="M69" s="25">
        <f t="shared" si="38"/>
        <v>3082</v>
      </c>
      <c r="N69" s="25"/>
      <c r="O69" s="25">
        <f>+E69-J69</f>
        <v>0</v>
      </c>
      <c r="P69" s="26">
        <f>SUM(L69:O69)</f>
        <v>45037</v>
      </c>
      <c r="Q69" s="18"/>
    </row>
    <row r="70" spans="1:17" ht="12.75" customHeight="1">
      <c r="A70" s="22" t="s">
        <v>17</v>
      </c>
      <c r="B70" s="29">
        <v>104168</v>
      </c>
      <c r="C70" s="34"/>
      <c r="D70" s="34"/>
      <c r="E70" s="30"/>
      <c r="F70" s="24">
        <f>SUM(B70:E70)</f>
        <v>104168</v>
      </c>
      <c r="G70" s="29">
        <f>104169-1</f>
        <v>104168</v>
      </c>
      <c r="H70" s="34"/>
      <c r="I70" s="34"/>
      <c r="J70" s="34"/>
      <c r="K70" s="24">
        <f>SUM(G70:J70)</f>
        <v>104168</v>
      </c>
      <c r="L70" s="25">
        <f t="shared" si="38"/>
        <v>0</v>
      </c>
      <c r="M70" s="25">
        <f t="shared" si="38"/>
        <v>0</v>
      </c>
      <c r="N70" s="25"/>
      <c r="O70" s="25">
        <f>+E70-J70</f>
        <v>0</v>
      </c>
      <c r="P70" s="26">
        <f>SUM(L70:O70)</f>
        <v>0</v>
      </c>
      <c r="Q70" s="18"/>
    </row>
    <row r="71" spans="1:17" ht="12.75" customHeight="1">
      <c r="A71" s="22" t="s">
        <v>18</v>
      </c>
      <c r="B71" s="29">
        <v>14394</v>
      </c>
      <c r="C71" s="34"/>
      <c r="D71" s="34"/>
      <c r="E71" s="35"/>
      <c r="F71" s="24">
        <f>SUM(B71:E71)</f>
        <v>14394</v>
      </c>
      <c r="G71" s="29">
        <v>9078</v>
      </c>
      <c r="H71" s="34"/>
      <c r="I71" s="34"/>
      <c r="J71" s="34"/>
      <c r="K71" s="24">
        <f>SUM(G71:J71)</f>
        <v>9078</v>
      </c>
      <c r="L71" s="25">
        <f t="shared" si="38"/>
        <v>5316</v>
      </c>
      <c r="M71" s="25">
        <f t="shared" si="38"/>
        <v>0</v>
      </c>
      <c r="N71" s="25"/>
      <c r="O71" s="25">
        <f>+E71-J71</f>
        <v>0</v>
      </c>
      <c r="P71" s="26">
        <f>SUM(L71:O71)</f>
        <v>5316</v>
      </c>
      <c r="Q71" s="18"/>
    </row>
    <row r="72" spans="1:17" ht="12.75" customHeight="1">
      <c r="A72" s="22" t="s">
        <v>19</v>
      </c>
      <c r="B72" s="27">
        <f t="shared" ref="B72:K72" si="39">+B73+B74</f>
        <v>0</v>
      </c>
      <c r="C72" s="27">
        <f t="shared" si="39"/>
        <v>1489</v>
      </c>
      <c r="D72" s="27">
        <f t="shared" si="39"/>
        <v>0</v>
      </c>
      <c r="E72" s="27">
        <f t="shared" si="39"/>
        <v>415</v>
      </c>
      <c r="F72" s="27">
        <f t="shared" si="39"/>
        <v>1904</v>
      </c>
      <c r="G72" s="27">
        <f t="shared" si="39"/>
        <v>0</v>
      </c>
      <c r="H72" s="27">
        <f t="shared" si="39"/>
        <v>1489</v>
      </c>
      <c r="I72" s="27">
        <f t="shared" si="39"/>
        <v>0</v>
      </c>
      <c r="J72" s="27">
        <f t="shared" si="39"/>
        <v>303</v>
      </c>
      <c r="K72" s="27">
        <f t="shared" si="39"/>
        <v>1792</v>
      </c>
      <c r="L72" s="27">
        <f t="shared" ref="L72:P72" si="40">+L73+L74</f>
        <v>0</v>
      </c>
      <c r="M72" s="27">
        <f t="shared" si="40"/>
        <v>0</v>
      </c>
      <c r="N72" s="27"/>
      <c r="O72" s="27">
        <f t="shared" si="40"/>
        <v>112</v>
      </c>
      <c r="P72" s="28">
        <f t="shared" si="40"/>
        <v>112</v>
      </c>
      <c r="Q72" s="18"/>
    </row>
    <row r="73" spans="1:17" ht="12.75" customHeight="1">
      <c r="A73" s="23" t="s">
        <v>20</v>
      </c>
      <c r="B73" s="29"/>
      <c r="C73" s="29">
        <v>1489</v>
      </c>
      <c r="D73" s="29"/>
      <c r="E73" s="30">
        <v>415</v>
      </c>
      <c r="F73" s="24">
        <f>SUM(B73:E73)</f>
        <v>1904</v>
      </c>
      <c r="G73" s="29"/>
      <c r="H73" s="29">
        <v>1489</v>
      </c>
      <c r="I73" s="29"/>
      <c r="J73" s="29">
        <v>303</v>
      </c>
      <c r="K73" s="24">
        <f>SUM(G73:J73)</f>
        <v>1792</v>
      </c>
      <c r="L73" s="25">
        <f>+B73-G73</f>
        <v>0</v>
      </c>
      <c r="M73" s="25">
        <f>+C73-H73</f>
        <v>0</v>
      </c>
      <c r="N73" s="25"/>
      <c r="O73" s="25">
        <f>+E73-J73</f>
        <v>112</v>
      </c>
      <c r="P73" s="26">
        <f>SUM(L73:O73)</f>
        <v>112</v>
      </c>
      <c r="Q73" s="18"/>
    </row>
    <row r="74" spans="1:17" ht="12.75" customHeight="1">
      <c r="A74" s="23" t="s">
        <v>21</v>
      </c>
      <c r="B74" s="29"/>
      <c r="C74" s="29"/>
      <c r="D74" s="29"/>
      <c r="E74" s="30"/>
      <c r="F74" s="24">
        <f>SUM(B74:E74)</f>
        <v>0</v>
      </c>
      <c r="G74" s="29"/>
      <c r="H74" s="29"/>
      <c r="I74" s="29"/>
      <c r="J74" s="29"/>
      <c r="K74" s="24">
        <f>SUM(G74:J74)</f>
        <v>0</v>
      </c>
      <c r="L74" s="25">
        <f>+B74-G74</f>
        <v>0</v>
      </c>
      <c r="M74" s="25">
        <f>+C74-H74</f>
        <v>0</v>
      </c>
      <c r="N74" s="25"/>
      <c r="O74" s="25">
        <f>+E74-J74</f>
        <v>0</v>
      </c>
      <c r="P74" s="26">
        <f>SUM(L74:O74)</f>
        <v>0</v>
      </c>
      <c r="Q74" s="18"/>
    </row>
    <row r="75" spans="1:17" ht="12.75" customHeight="1">
      <c r="A75" s="33"/>
      <c r="B75" s="25"/>
      <c r="C75" s="25"/>
      <c r="D75" s="25"/>
      <c r="E75" s="43"/>
      <c r="F75" s="24"/>
      <c r="G75" s="47"/>
      <c r="H75" s="47"/>
      <c r="I75" s="47"/>
      <c r="J75" s="47"/>
      <c r="K75" s="32"/>
      <c r="L75" s="25"/>
      <c r="M75" s="25"/>
      <c r="N75" s="25"/>
      <c r="O75" s="25"/>
      <c r="P75" s="26"/>
      <c r="Q75" s="18"/>
    </row>
    <row r="76" spans="1:17" ht="12.75" customHeight="1">
      <c r="A76" s="33" t="s">
        <v>37</v>
      </c>
      <c r="B76" s="17">
        <f t="shared" ref="B76:K76" si="41">+B77+B81</f>
        <v>14196</v>
      </c>
      <c r="C76" s="17">
        <f t="shared" si="41"/>
        <v>34160</v>
      </c>
      <c r="D76" s="17">
        <f t="shared" si="41"/>
        <v>0</v>
      </c>
      <c r="E76" s="17">
        <f t="shared" si="41"/>
        <v>1151</v>
      </c>
      <c r="F76" s="17">
        <f t="shared" si="41"/>
        <v>49507</v>
      </c>
      <c r="G76" s="17">
        <f t="shared" si="41"/>
        <v>11883</v>
      </c>
      <c r="H76" s="17">
        <f t="shared" si="41"/>
        <v>26134</v>
      </c>
      <c r="I76" s="17">
        <f t="shared" si="41"/>
        <v>0</v>
      </c>
      <c r="J76" s="17">
        <f t="shared" si="41"/>
        <v>31</v>
      </c>
      <c r="K76" s="17">
        <f t="shared" si="41"/>
        <v>38048</v>
      </c>
      <c r="L76" s="17">
        <f>+L77+L81</f>
        <v>2313</v>
      </c>
      <c r="M76" s="17">
        <f>+M77+M81</f>
        <v>8026</v>
      </c>
      <c r="N76" s="17"/>
      <c r="O76" s="17">
        <f>+O77+O81</f>
        <v>1120</v>
      </c>
      <c r="P76" s="17">
        <f>+P77+P81</f>
        <v>11459</v>
      </c>
      <c r="Q76" s="18">
        <f>+K76/F76</f>
        <v>0.76853778253580307</v>
      </c>
    </row>
    <row r="77" spans="1:17" ht="12.75" customHeight="1">
      <c r="A77" s="41" t="s">
        <v>15</v>
      </c>
      <c r="B77" s="20">
        <f t="shared" ref="B77:K77" si="42">+B78+B79+B80</f>
        <v>14196</v>
      </c>
      <c r="C77" s="20">
        <f t="shared" si="42"/>
        <v>32890</v>
      </c>
      <c r="D77" s="20">
        <f t="shared" si="42"/>
        <v>0</v>
      </c>
      <c r="E77" s="20">
        <f t="shared" si="42"/>
        <v>320</v>
      </c>
      <c r="F77" s="20">
        <f t="shared" si="42"/>
        <v>47406</v>
      </c>
      <c r="G77" s="20">
        <f t="shared" si="42"/>
        <v>11883</v>
      </c>
      <c r="H77" s="20">
        <f t="shared" si="42"/>
        <v>25425</v>
      </c>
      <c r="I77" s="20">
        <f t="shared" si="42"/>
        <v>0</v>
      </c>
      <c r="J77" s="20">
        <f t="shared" si="42"/>
        <v>0</v>
      </c>
      <c r="K77" s="20">
        <f t="shared" si="42"/>
        <v>37308</v>
      </c>
      <c r="L77" s="20">
        <f>+L78+L79+L80</f>
        <v>2313</v>
      </c>
      <c r="M77" s="20">
        <f>+M78+M79+M80</f>
        <v>7465</v>
      </c>
      <c r="N77" s="20"/>
      <c r="O77" s="20">
        <f>+O78+O79+O80</f>
        <v>320</v>
      </c>
      <c r="P77" s="21">
        <f>+P78+P79+P80</f>
        <v>10098</v>
      </c>
      <c r="Q77" s="18"/>
    </row>
    <row r="78" spans="1:17" ht="12.75" customHeight="1">
      <c r="A78" s="22" t="s">
        <v>16</v>
      </c>
      <c r="B78" s="29">
        <v>9704</v>
      </c>
      <c r="C78" s="29">
        <v>32890</v>
      </c>
      <c r="D78" s="29"/>
      <c r="E78" s="30">
        <v>320</v>
      </c>
      <c r="F78" s="24">
        <f>SUM(B78:E78)</f>
        <v>42914</v>
      </c>
      <c r="G78" s="29">
        <v>7616</v>
      </c>
      <c r="H78" s="29">
        <v>25425</v>
      </c>
      <c r="I78" s="29"/>
      <c r="J78" s="29"/>
      <c r="K78" s="24">
        <f>SUM(G78:J78)</f>
        <v>33041</v>
      </c>
      <c r="L78" s="25">
        <f t="shared" ref="L78:M80" si="43">+B78-G78</f>
        <v>2088</v>
      </c>
      <c r="M78" s="25">
        <f t="shared" si="43"/>
        <v>7465</v>
      </c>
      <c r="N78" s="25"/>
      <c r="O78" s="25">
        <f>+E78-J78</f>
        <v>320</v>
      </c>
      <c r="P78" s="26">
        <f>SUM(L78:O78)</f>
        <v>9873</v>
      </c>
      <c r="Q78" s="18"/>
    </row>
    <row r="79" spans="1:17" ht="12.75" customHeight="1">
      <c r="A79" s="22" t="s">
        <v>17</v>
      </c>
      <c r="B79" s="29">
        <v>3627</v>
      </c>
      <c r="C79" s="34"/>
      <c r="D79" s="34"/>
      <c r="E79" s="30"/>
      <c r="F79" s="24">
        <f>SUM(B79:E79)</f>
        <v>3627</v>
      </c>
      <c r="G79" s="29">
        <v>3627</v>
      </c>
      <c r="H79" s="34"/>
      <c r="I79" s="34"/>
      <c r="J79" s="34"/>
      <c r="K79" s="24">
        <f>SUM(G79:J79)</f>
        <v>3627</v>
      </c>
      <c r="L79" s="25">
        <f t="shared" si="43"/>
        <v>0</v>
      </c>
      <c r="M79" s="25">
        <f t="shared" si="43"/>
        <v>0</v>
      </c>
      <c r="N79" s="25"/>
      <c r="O79" s="25">
        <f>+E79-J79</f>
        <v>0</v>
      </c>
      <c r="P79" s="26">
        <f>SUM(L79:O79)</f>
        <v>0</v>
      </c>
      <c r="Q79" s="18"/>
    </row>
    <row r="80" spans="1:17" ht="12.75" customHeight="1">
      <c r="A80" s="22" t="s">
        <v>18</v>
      </c>
      <c r="B80" s="29">
        <v>865</v>
      </c>
      <c r="C80" s="34"/>
      <c r="D80" s="34"/>
      <c r="E80" s="35"/>
      <c r="F80" s="24">
        <f>SUM(B80:E80)</f>
        <v>865</v>
      </c>
      <c r="G80" s="24">
        <v>640</v>
      </c>
      <c r="H80" s="34"/>
      <c r="I80" s="34"/>
      <c r="J80" s="34"/>
      <c r="K80" s="24">
        <f>SUM(G80:J80)</f>
        <v>640</v>
      </c>
      <c r="L80" s="25">
        <f t="shared" si="43"/>
        <v>225</v>
      </c>
      <c r="M80" s="25">
        <f t="shared" si="43"/>
        <v>0</v>
      </c>
      <c r="N80" s="25"/>
      <c r="O80" s="25">
        <f>+E80-J80</f>
        <v>0</v>
      </c>
      <c r="P80" s="26">
        <f>SUM(L80:O80)</f>
        <v>225</v>
      </c>
      <c r="Q80" s="18"/>
    </row>
    <row r="81" spans="1:17" ht="12.75" customHeight="1">
      <c r="A81" s="22" t="s">
        <v>19</v>
      </c>
      <c r="B81" s="27">
        <f t="shared" ref="B81:K81" si="44">+B82+B83</f>
        <v>0</v>
      </c>
      <c r="C81" s="27">
        <f t="shared" si="44"/>
        <v>1270</v>
      </c>
      <c r="D81" s="27">
        <f t="shared" si="44"/>
        <v>0</v>
      </c>
      <c r="E81" s="27">
        <f t="shared" si="44"/>
        <v>831</v>
      </c>
      <c r="F81" s="27">
        <f t="shared" si="44"/>
        <v>2101</v>
      </c>
      <c r="G81" s="27">
        <f t="shared" si="44"/>
        <v>0</v>
      </c>
      <c r="H81" s="27">
        <f t="shared" si="44"/>
        <v>709</v>
      </c>
      <c r="I81" s="27">
        <f t="shared" si="44"/>
        <v>0</v>
      </c>
      <c r="J81" s="27">
        <f t="shared" si="44"/>
        <v>31</v>
      </c>
      <c r="K81" s="27">
        <f t="shared" si="44"/>
        <v>740</v>
      </c>
      <c r="L81" s="27">
        <f t="shared" ref="L81:P81" si="45">+L82+L83</f>
        <v>0</v>
      </c>
      <c r="M81" s="27">
        <f t="shared" si="45"/>
        <v>561</v>
      </c>
      <c r="N81" s="27"/>
      <c r="O81" s="27">
        <f t="shared" si="45"/>
        <v>800</v>
      </c>
      <c r="P81" s="28">
        <f t="shared" si="45"/>
        <v>1361</v>
      </c>
      <c r="Q81" s="18"/>
    </row>
    <row r="82" spans="1:17" ht="12.75" customHeight="1">
      <c r="A82" s="23" t="s">
        <v>20</v>
      </c>
      <c r="B82" s="29"/>
      <c r="C82" s="29">
        <v>1270</v>
      </c>
      <c r="D82" s="29"/>
      <c r="E82" s="30">
        <v>831</v>
      </c>
      <c r="F82" s="24">
        <f>SUM(B82:E82)</f>
        <v>2101</v>
      </c>
      <c r="G82" s="29"/>
      <c r="H82" s="29">
        <v>709</v>
      </c>
      <c r="I82" s="29"/>
      <c r="J82" s="29">
        <v>31</v>
      </c>
      <c r="K82" s="24">
        <f>SUM(G82:J82)</f>
        <v>740</v>
      </c>
      <c r="L82" s="25">
        <f>+B82-G82</f>
        <v>0</v>
      </c>
      <c r="M82" s="25">
        <f>+C82-H82</f>
        <v>561</v>
      </c>
      <c r="N82" s="25"/>
      <c r="O82" s="25">
        <f>+E82-J82</f>
        <v>800</v>
      </c>
      <c r="P82" s="26">
        <f>SUM(L82:O82)</f>
        <v>1361</v>
      </c>
      <c r="Q82" s="18"/>
    </row>
    <row r="83" spans="1:17" ht="12.75" customHeight="1">
      <c r="A83" s="23" t="s">
        <v>21</v>
      </c>
      <c r="B83" s="29"/>
      <c r="C83" s="29"/>
      <c r="D83" s="29"/>
      <c r="E83" s="30"/>
      <c r="F83" s="24">
        <f>SUM(B83:E83)</f>
        <v>0</v>
      </c>
      <c r="G83" s="31"/>
      <c r="H83" s="31"/>
      <c r="I83" s="31"/>
      <c r="J83" s="31"/>
      <c r="K83" s="32">
        <f>SUM(G83:J83)</f>
        <v>0</v>
      </c>
      <c r="L83" s="25">
        <f>+B83-G83</f>
        <v>0</v>
      </c>
      <c r="M83" s="25">
        <f>+C83-H83</f>
        <v>0</v>
      </c>
      <c r="N83" s="25"/>
      <c r="O83" s="25">
        <f>+E83-J83</f>
        <v>0</v>
      </c>
      <c r="P83" s="26">
        <f>SUM(L83:O83)</f>
        <v>0</v>
      </c>
      <c r="Q83" s="18"/>
    </row>
    <row r="84" spans="1:17" ht="12.75" customHeight="1">
      <c r="A84" s="33"/>
      <c r="B84" s="25"/>
      <c r="C84" s="25"/>
      <c r="D84" s="25"/>
      <c r="E84" s="43"/>
      <c r="F84" s="24"/>
      <c r="G84" s="47"/>
      <c r="H84" s="47"/>
      <c r="I84" s="47"/>
      <c r="J84" s="47"/>
      <c r="K84" s="32"/>
      <c r="L84" s="25"/>
      <c r="M84" s="25"/>
      <c r="N84" s="25"/>
      <c r="O84" s="25"/>
      <c r="P84" s="26"/>
      <c r="Q84" s="18"/>
    </row>
    <row r="85" spans="1:17" ht="12.75" customHeight="1">
      <c r="A85" s="215" t="s">
        <v>38</v>
      </c>
      <c r="B85" s="17">
        <f t="shared" ref="B85:K85" si="46">+B86+B90</f>
        <v>66507</v>
      </c>
      <c r="C85" s="17">
        <f t="shared" si="46"/>
        <v>217410</v>
      </c>
      <c r="D85" s="17">
        <f t="shared" si="46"/>
        <v>0</v>
      </c>
      <c r="E85" s="17">
        <f t="shared" si="46"/>
        <v>190</v>
      </c>
      <c r="F85" s="17">
        <f t="shared" si="46"/>
        <v>284107</v>
      </c>
      <c r="G85" s="17">
        <f t="shared" si="46"/>
        <v>54971</v>
      </c>
      <c r="H85" s="17">
        <f t="shared" si="46"/>
        <v>214733</v>
      </c>
      <c r="I85" s="17">
        <f t="shared" si="46"/>
        <v>0</v>
      </c>
      <c r="J85" s="17">
        <f t="shared" si="46"/>
        <v>189</v>
      </c>
      <c r="K85" s="17">
        <f t="shared" si="46"/>
        <v>269893</v>
      </c>
      <c r="L85" s="17">
        <f>+L86+L90</f>
        <v>11536</v>
      </c>
      <c r="M85" s="17">
        <f>+M86+M90</f>
        <v>2677</v>
      </c>
      <c r="N85" s="17"/>
      <c r="O85" s="17">
        <f>+O86+O90</f>
        <v>1</v>
      </c>
      <c r="P85" s="17">
        <f>+P86+P90</f>
        <v>14214</v>
      </c>
      <c r="Q85" s="18">
        <f>+K85/F85</f>
        <v>0.949969553724477</v>
      </c>
    </row>
    <row r="86" spans="1:17" ht="12.75" customHeight="1">
      <c r="A86" s="41" t="s">
        <v>15</v>
      </c>
      <c r="B86" s="20">
        <f t="shared" ref="B86:K86" si="47">+B87+B88+B89</f>
        <v>66507</v>
      </c>
      <c r="C86" s="20">
        <f t="shared" si="47"/>
        <v>207695</v>
      </c>
      <c r="D86" s="20">
        <f t="shared" si="47"/>
        <v>0</v>
      </c>
      <c r="E86" s="20">
        <f t="shared" si="47"/>
        <v>190</v>
      </c>
      <c r="F86" s="20">
        <f t="shared" si="47"/>
        <v>274392</v>
      </c>
      <c r="G86" s="20">
        <f t="shared" si="47"/>
        <v>54971</v>
      </c>
      <c r="H86" s="20">
        <f t="shared" si="47"/>
        <v>206297</v>
      </c>
      <c r="I86" s="20">
        <f t="shared" si="47"/>
        <v>0</v>
      </c>
      <c r="J86" s="20">
        <f t="shared" si="47"/>
        <v>189</v>
      </c>
      <c r="K86" s="20">
        <f t="shared" si="47"/>
        <v>261457</v>
      </c>
      <c r="L86" s="20">
        <f>+L87+L88+L89</f>
        <v>11536</v>
      </c>
      <c r="M86" s="20">
        <f>+M87+M88+M89</f>
        <v>1398</v>
      </c>
      <c r="N86" s="20"/>
      <c r="O86" s="20">
        <f>+O87+O88+O89</f>
        <v>1</v>
      </c>
      <c r="P86" s="21">
        <f>+P87+P88+P89</f>
        <v>12935</v>
      </c>
      <c r="Q86" s="18"/>
    </row>
    <row r="87" spans="1:17" ht="12.75" customHeight="1">
      <c r="A87" s="22" t="s">
        <v>16</v>
      </c>
      <c r="B87" s="29">
        <v>41869</v>
      </c>
      <c r="C87" s="29">
        <v>67715</v>
      </c>
      <c r="D87" s="29"/>
      <c r="E87" s="30">
        <v>190</v>
      </c>
      <c r="F87" s="24">
        <f>SUM(B87:E87)</f>
        <v>109774</v>
      </c>
      <c r="G87" s="29">
        <v>31407</v>
      </c>
      <c r="H87" s="29">
        <v>67085</v>
      </c>
      <c r="I87" s="29"/>
      <c r="J87" s="29">
        <v>189</v>
      </c>
      <c r="K87" s="24">
        <f>SUM(G87:J87)</f>
        <v>98681</v>
      </c>
      <c r="L87" s="25">
        <f t="shared" ref="L87:M89" si="48">+B87-G87</f>
        <v>10462</v>
      </c>
      <c r="M87" s="25">
        <f t="shared" si="48"/>
        <v>630</v>
      </c>
      <c r="N87" s="25"/>
      <c r="O87" s="25">
        <f>+E87-J87</f>
        <v>1</v>
      </c>
      <c r="P87" s="26">
        <f>SUM(L87:O87)</f>
        <v>11093</v>
      </c>
      <c r="Q87" s="18"/>
    </row>
    <row r="88" spans="1:17" ht="12.75" customHeight="1">
      <c r="A88" s="22" t="s">
        <v>17</v>
      </c>
      <c r="B88" s="29">
        <v>20727</v>
      </c>
      <c r="C88" s="34"/>
      <c r="D88" s="34"/>
      <c r="E88" s="30"/>
      <c r="F88" s="24">
        <f>SUM(B88:E88)</f>
        <v>20727</v>
      </c>
      <c r="G88" s="29">
        <v>20726</v>
      </c>
      <c r="H88" s="34"/>
      <c r="I88" s="34"/>
      <c r="J88" s="34"/>
      <c r="K88" s="24">
        <f>SUM(G88:J88)</f>
        <v>20726</v>
      </c>
      <c r="L88" s="25">
        <f t="shared" si="48"/>
        <v>1</v>
      </c>
      <c r="M88" s="25">
        <f t="shared" si="48"/>
        <v>0</v>
      </c>
      <c r="N88" s="25"/>
      <c r="O88" s="25">
        <f>+E88-J88</f>
        <v>0</v>
      </c>
      <c r="P88" s="26">
        <f>SUM(L88:O88)</f>
        <v>1</v>
      </c>
      <c r="Q88" s="18"/>
    </row>
    <row r="89" spans="1:17" ht="12.75" customHeight="1">
      <c r="A89" s="22" t="s">
        <v>18</v>
      </c>
      <c r="B89" s="29">
        <v>3911</v>
      </c>
      <c r="C89" s="29">
        <v>139980</v>
      </c>
      <c r="D89" s="29"/>
      <c r="E89" s="35"/>
      <c r="F89" s="24">
        <f>SUM(B89:E89)</f>
        <v>143891</v>
      </c>
      <c r="G89" s="29">
        <v>2838</v>
      </c>
      <c r="H89" s="29">
        <v>139212</v>
      </c>
      <c r="I89" s="34"/>
      <c r="J89" s="34"/>
      <c r="K89" s="24">
        <f>SUM(G89:J89)</f>
        <v>142050</v>
      </c>
      <c r="L89" s="25">
        <f t="shared" si="48"/>
        <v>1073</v>
      </c>
      <c r="M89" s="25">
        <f t="shared" si="48"/>
        <v>768</v>
      </c>
      <c r="N89" s="25"/>
      <c r="O89" s="25">
        <f>+E89-J89</f>
        <v>0</v>
      </c>
      <c r="P89" s="26">
        <f>SUM(L89:O89)</f>
        <v>1841</v>
      </c>
      <c r="Q89" s="18"/>
    </row>
    <row r="90" spans="1:17" ht="12.75" customHeight="1">
      <c r="A90" s="22" t="s">
        <v>19</v>
      </c>
      <c r="B90" s="27">
        <f t="shared" ref="B90:K90" si="49">+B91+B92</f>
        <v>0</v>
      </c>
      <c r="C90" s="27">
        <f t="shared" si="49"/>
        <v>9715</v>
      </c>
      <c r="D90" s="27">
        <f t="shared" si="49"/>
        <v>0</v>
      </c>
      <c r="E90" s="27">
        <f t="shared" si="49"/>
        <v>0</v>
      </c>
      <c r="F90" s="27">
        <f t="shared" si="49"/>
        <v>9715</v>
      </c>
      <c r="G90" s="27">
        <f t="shared" si="49"/>
        <v>0</v>
      </c>
      <c r="H90" s="27">
        <f t="shared" si="49"/>
        <v>8436</v>
      </c>
      <c r="I90" s="27">
        <f t="shared" si="49"/>
        <v>0</v>
      </c>
      <c r="J90" s="27">
        <f t="shared" si="49"/>
        <v>0</v>
      </c>
      <c r="K90" s="27">
        <f t="shared" si="49"/>
        <v>8436</v>
      </c>
      <c r="L90" s="27">
        <f t="shared" ref="L90:P90" si="50">+L91+L92</f>
        <v>0</v>
      </c>
      <c r="M90" s="27">
        <f t="shared" si="50"/>
        <v>1279</v>
      </c>
      <c r="N90" s="27"/>
      <c r="O90" s="27">
        <f t="shared" si="50"/>
        <v>0</v>
      </c>
      <c r="P90" s="28">
        <f t="shared" si="50"/>
        <v>1279</v>
      </c>
      <c r="Q90" s="18"/>
    </row>
    <row r="91" spans="1:17" ht="12.75" customHeight="1">
      <c r="A91" s="23" t="s">
        <v>20</v>
      </c>
      <c r="B91" s="29"/>
      <c r="C91" s="29">
        <v>9715</v>
      </c>
      <c r="D91" s="29"/>
      <c r="E91" s="30"/>
      <c r="F91" s="24">
        <f>SUM(B91:E91)</f>
        <v>9715</v>
      </c>
      <c r="G91" s="29"/>
      <c r="H91" s="29">
        <v>8436</v>
      </c>
      <c r="I91" s="29"/>
      <c r="J91" s="29"/>
      <c r="K91" s="24">
        <f>SUM(G91:J91)</f>
        <v>8436</v>
      </c>
      <c r="L91" s="25">
        <f>+B91-G91</f>
        <v>0</v>
      </c>
      <c r="M91" s="25">
        <f>+C91-H91</f>
        <v>1279</v>
      </c>
      <c r="N91" s="25"/>
      <c r="O91" s="25">
        <f>+E91-J91</f>
        <v>0</v>
      </c>
      <c r="P91" s="26">
        <f>SUM(L91:O91)</f>
        <v>1279</v>
      </c>
      <c r="Q91" s="18"/>
    </row>
    <row r="92" spans="1:17" ht="12.75" customHeight="1">
      <c r="A92" s="23" t="s">
        <v>21</v>
      </c>
      <c r="B92" s="29"/>
      <c r="C92" s="29"/>
      <c r="D92" s="29"/>
      <c r="E92" s="30"/>
      <c r="F92" s="24">
        <f>SUM(B92:E92)</f>
        <v>0</v>
      </c>
      <c r="G92" s="29"/>
      <c r="H92" s="29"/>
      <c r="I92" s="29"/>
      <c r="J92" s="29"/>
      <c r="K92" s="24">
        <f>SUM(G92:J92)</f>
        <v>0</v>
      </c>
      <c r="L92" s="25">
        <f>+B92-G92</f>
        <v>0</v>
      </c>
      <c r="M92" s="25">
        <f>+C92-H92</f>
        <v>0</v>
      </c>
      <c r="N92" s="25"/>
      <c r="O92" s="25">
        <f>+E92-J92</f>
        <v>0</v>
      </c>
      <c r="P92" s="26">
        <f>SUM(L92:O92)</f>
        <v>0</v>
      </c>
      <c r="Q92" s="18"/>
    </row>
    <row r="93" spans="1:17" ht="12.75" customHeight="1">
      <c r="A93" s="33"/>
      <c r="B93" s="25"/>
      <c r="C93" s="25"/>
      <c r="D93" s="25"/>
      <c r="E93" s="43"/>
      <c r="F93" s="24"/>
      <c r="G93" s="47"/>
      <c r="H93" s="47"/>
      <c r="I93" s="47"/>
      <c r="J93" s="47"/>
      <c r="K93" s="32"/>
      <c r="L93" s="25"/>
      <c r="M93" s="25"/>
      <c r="N93" s="25"/>
      <c r="O93" s="25"/>
      <c r="P93" s="26"/>
      <c r="Q93" s="18"/>
    </row>
    <row r="94" spans="1:17" ht="12.75" customHeight="1">
      <c r="A94" s="33" t="s">
        <v>39</v>
      </c>
      <c r="B94" s="17">
        <f t="shared" ref="B94:K94" si="51">+B95+B99</f>
        <v>164460</v>
      </c>
      <c r="C94" s="17">
        <f t="shared" si="51"/>
        <v>156100</v>
      </c>
      <c r="D94" s="17">
        <f t="shared" si="51"/>
        <v>0</v>
      </c>
      <c r="E94" s="17">
        <f t="shared" si="51"/>
        <v>84827</v>
      </c>
      <c r="F94" s="17">
        <f t="shared" si="51"/>
        <v>405387</v>
      </c>
      <c r="G94" s="17">
        <f t="shared" si="51"/>
        <v>163117</v>
      </c>
      <c r="H94" s="17">
        <f t="shared" si="51"/>
        <v>147208</v>
      </c>
      <c r="I94" s="17">
        <f t="shared" si="51"/>
        <v>0</v>
      </c>
      <c r="J94" s="17">
        <f t="shared" si="51"/>
        <v>79924</v>
      </c>
      <c r="K94" s="17">
        <f t="shared" si="51"/>
        <v>390249</v>
      </c>
      <c r="L94" s="17">
        <f>+L95+L99</f>
        <v>1343</v>
      </c>
      <c r="M94" s="17">
        <f>+M95+M99</f>
        <v>8892</v>
      </c>
      <c r="N94" s="17"/>
      <c r="O94" s="17">
        <f>+O95+O99</f>
        <v>4903</v>
      </c>
      <c r="P94" s="17">
        <f>+P95+P99</f>
        <v>15138</v>
      </c>
      <c r="Q94" s="18">
        <f>+K94/F94</f>
        <v>0.96265790466887202</v>
      </c>
    </row>
    <row r="95" spans="1:17" ht="12.75" customHeight="1">
      <c r="A95" s="41" t="s">
        <v>15</v>
      </c>
      <c r="B95" s="20">
        <f t="shared" ref="B95:K95" si="52">+B96+B97+B98</f>
        <v>164460</v>
      </c>
      <c r="C95" s="20">
        <f t="shared" si="52"/>
        <v>152021</v>
      </c>
      <c r="D95" s="20">
        <f t="shared" si="52"/>
        <v>0</v>
      </c>
      <c r="E95" s="20">
        <f t="shared" si="52"/>
        <v>78000</v>
      </c>
      <c r="F95" s="20">
        <f t="shared" si="52"/>
        <v>394481</v>
      </c>
      <c r="G95" s="20">
        <f t="shared" si="52"/>
        <v>163117</v>
      </c>
      <c r="H95" s="20">
        <f t="shared" si="52"/>
        <v>143129</v>
      </c>
      <c r="I95" s="20">
        <f t="shared" si="52"/>
        <v>0</v>
      </c>
      <c r="J95" s="20">
        <f t="shared" si="52"/>
        <v>73097</v>
      </c>
      <c r="K95" s="20">
        <f t="shared" si="52"/>
        <v>379343</v>
      </c>
      <c r="L95" s="20">
        <f>+L96+L97+L98</f>
        <v>1343</v>
      </c>
      <c r="M95" s="20">
        <f>+M96+M97+M98</f>
        <v>8892</v>
      </c>
      <c r="N95" s="20"/>
      <c r="O95" s="20">
        <f>+O96+O97+O98</f>
        <v>4903</v>
      </c>
      <c r="P95" s="21">
        <f>+P96+P97+P98</f>
        <v>15138</v>
      </c>
      <c r="Q95" s="18"/>
    </row>
    <row r="96" spans="1:17" ht="12.75" customHeight="1">
      <c r="A96" s="22" t="s">
        <v>16</v>
      </c>
      <c r="B96" s="29">
        <v>132010</v>
      </c>
      <c r="C96" s="29">
        <v>105216</v>
      </c>
      <c r="D96" s="29"/>
      <c r="E96" s="30">
        <v>63000</v>
      </c>
      <c r="F96" s="24">
        <f>SUM(B96:E96)</f>
        <v>300226</v>
      </c>
      <c r="G96" s="29">
        <v>131978</v>
      </c>
      <c r="H96" s="24">
        <v>104996</v>
      </c>
      <c r="I96" s="24"/>
      <c r="J96" s="29">
        <v>61424</v>
      </c>
      <c r="K96" s="24">
        <f>SUM(G96:J96)</f>
        <v>298398</v>
      </c>
      <c r="L96" s="25">
        <f t="shared" ref="L96:M98" si="53">+B96-G96</f>
        <v>32</v>
      </c>
      <c r="M96" s="25">
        <f t="shared" si="53"/>
        <v>220</v>
      </c>
      <c r="N96" s="25"/>
      <c r="O96" s="25">
        <f>+E96-J96</f>
        <v>1576</v>
      </c>
      <c r="P96" s="26">
        <f>SUM(L96:O96)</f>
        <v>1828</v>
      </c>
      <c r="Q96" s="18"/>
    </row>
    <row r="97" spans="1:17" ht="12.75" customHeight="1">
      <c r="A97" s="22" t="s">
        <v>17</v>
      </c>
      <c r="B97" s="29">
        <v>19944</v>
      </c>
      <c r="C97" s="34"/>
      <c r="D97" s="34"/>
      <c r="E97" s="30"/>
      <c r="F97" s="24">
        <f>SUM(B97:E97)</f>
        <v>19944</v>
      </c>
      <c r="G97" s="29">
        <v>19943</v>
      </c>
      <c r="H97" s="34"/>
      <c r="I97" s="34"/>
      <c r="J97" s="34"/>
      <c r="K97" s="24">
        <f>SUM(G97:J97)</f>
        <v>19943</v>
      </c>
      <c r="L97" s="25">
        <f t="shared" si="53"/>
        <v>1</v>
      </c>
      <c r="M97" s="25">
        <f t="shared" si="53"/>
        <v>0</v>
      </c>
      <c r="N97" s="25"/>
      <c r="O97" s="25">
        <f>+E97-J97</f>
        <v>0</v>
      </c>
      <c r="P97" s="26">
        <f>SUM(L97:O97)</f>
        <v>1</v>
      </c>
      <c r="Q97" s="18"/>
    </row>
    <row r="98" spans="1:17" ht="12.75" customHeight="1">
      <c r="A98" s="22" t="s">
        <v>18</v>
      </c>
      <c r="B98" s="29">
        <v>12506</v>
      </c>
      <c r="C98" s="29">
        <v>46805</v>
      </c>
      <c r="D98" s="29"/>
      <c r="E98" s="30">
        <v>15000</v>
      </c>
      <c r="F98" s="24">
        <f>SUM(B98:E98)</f>
        <v>74311</v>
      </c>
      <c r="G98" s="29">
        <v>11196</v>
      </c>
      <c r="H98" s="29">
        <v>38133</v>
      </c>
      <c r="I98" s="34"/>
      <c r="J98" s="29">
        <v>11673</v>
      </c>
      <c r="K98" s="24">
        <f>SUM(G98:J98)</f>
        <v>61002</v>
      </c>
      <c r="L98" s="25">
        <f t="shared" si="53"/>
        <v>1310</v>
      </c>
      <c r="M98" s="25">
        <f t="shared" si="53"/>
        <v>8672</v>
      </c>
      <c r="N98" s="25"/>
      <c r="O98" s="25">
        <f>+E98-J98</f>
        <v>3327</v>
      </c>
      <c r="P98" s="26">
        <f>SUM(L98:O98)</f>
        <v>13309</v>
      </c>
      <c r="Q98" s="18"/>
    </row>
    <row r="99" spans="1:17" ht="12.75" customHeight="1">
      <c r="A99" s="22" t="s">
        <v>19</v>
      </c>
      <c r="B99" s="27">
        <f t="shared" ref="B99:K99" si="54">+B100+B101</f>
        <v>0</v>
      </c>
      <c r="C99" s="27">
        <f t="shared" si="54"/>
        <v>4079</v>
      </c>
      <c r="D99" s="27">
        <f t="shared" si="54"/>
        <v>0</v>
      </c>
      <c r="E99" s="27">
        <f t="shared" si="54"/>
        <v>6827</v>
      </c>
      <c r="F99" s="27">
        <f t="shared" si="54"/>
        <v>10906</v>
      </c>
      <c r="G99" s="27">
        <f t="shared" si="54"/>
        <v>0</v>
      </c>
      <c r="H99" s="27">
        <f t="shared" si="54"/>
        <v>4079</v>
      </c>
      <c r="I99" s="27">
        <f t="shared" si="54"/>
        <v>0</v>
      </c>
      <c r="J99" s="27">
        <f t="shared" si="54"/>
        <v>6827</v>
      </c>
      <c r="K99" s="27">
        <f t="shared" si="54"/>
        <v>10906</v>
      </c>
      <c r="L99" s="27">
        <f t="shared" ref="L99:P99" si="55">+L100+L101</f>
        <v>0</v>
      </c>
      <c r="M99" s="27">
        <f t="shared" si="55"/>
        <v>0</v>
      </c>
      <c r="N99" s="27"/>
      <c r="O99" s="27">
        <f t="shared" si="55"/>
        <v>0</v>
      </c>
      <c r="P99" s="28">
        <f t="shared" si="55"/>
        <v>0</v>
      </c>
      <c r="Q99" s="18"/>
    </row>
    <row r="100" spans="1:17" ht="12.75" customHeight="1">
      <c r="A100" s="23" t="s">
        <v>20</v>
      </c>
      <c r="B100" s="29"/>
      <c r="C100" s="29">
        <v>4079</v>
      </c>
      <c r="D100" s="29"/>
      <c r="E100" s="30">
        <f>2596+194+4037</f>
        <v>6827</v>
      </c>
      <c r="F100" s="24">
        <f>SUM(B100:E100)</f>
        <v>10906</v>
      </c>
      <c r="G100" s="29"/>
      <c r="H100" s="29">
        <v>4079</v>
      </c>
      <c r="I100" s="29"/>
      <c r="J100" s="29">
        <v>6827</v>
      </c>
      <c r="K100" s="24">
        <f>SUM(G100:J100)</f>
        <v>10906</v>
      </c>
      <c r="L100" s="25">
        <f>+B100-G100</f>
        <v>0</v>
      </c>
      <c r="M100" s="25">
        <f>+C100-H100</f>
        <v>0</v>
      </c>
      <c r="N100" s="25"/>
      <c r="O100" s="25">
        <f>+E100-J100</f>
        <v>0</v>
      </c>
      <c r="P100" s="26">
        <f>SUM(L100:O100)</f>
        <v>0</v>
      </c>
      <c r="Q100" s="18"/>
    </row>
    <row r="101" spans="1:17" ht="12.75" customHeight="1">
      <c r="A101" s="23" t="s">
        <v>21</v>
      </c>
      <c r="B101" s="29"/>
      <c r="C101" s="29"/>
      <c r="D101" s="29"/>
      <c r="E101" s="30"/>
      <c r="F101" s="24">
        <f>SUM(B101:E101)</f>
        <v>0</v>
      </c>
      <c r="G101" s="29"/>
      <c r="H101" s="29"/>
      <c r="I101" s="29"/>
      <c r="J101" s="29">
        <f>194-194</f>
        <v>0</v>
      </c>
      <c r="K101" s="24">
        <f>SUM(G101:J101)</f>
        <v>0</v>
      </c>
      <c r="L101" s="25">
        <f>+B101-G101</f>
        <v>0</v>
      </c>
      <c r="M101" s="25">
        <f>+C101-H101</f>
        <v>0</v>
      </c>
      <c r="N101" s="25"/>
      <c r="O101" s="25">
        <f>+E101-J101</f>
        <v>0</v>
      </c>
      <c r="P101" s="26">
        <f>SUM(L101:O101)</f>
        <v>0</v>
      </c>
      <c r="Q101" s="18"/>
    </row>
    <row r="102" spans="1:17" ht="12.75" customHeight="1">
      <c r="A102" s="33"/>
      <c r="B102" s="25"/>
      <c r="C102" s="25"/>
      <c r="D102" s="25"/>
      <c r="E102" s="43"/>
      <c r="F102" s="24"/>
      <c r="G102" s="47"/>
      <c r="H102" s="47"/>
      <c r="I102" s="47"/>
      <c r="J102" s="47"/>
      <c r="K102" s="32"/>
      <c r="L102" s="25"/>
      <c r="M102" s="25"/>
      <c r="N102" s="25"/>
      <c r="O102" s="25"/>
      <c r="P102" s="26"/>
      <c r="Q102" s="18"/>
    </row>
    <row r="103" spans="1:17" ht="12.75" customHeight="1">
      <c r="A103" s="33" t="s">
        <v>40</v>
      </c>
      <c r="B103" s="17">
        <f t="shared" ref="B103:K103" si="56">+B104+B108</f>
        <v>101600</v>
      </c>
      <c r="C103" s="17">
        <f t="shared" si="56"/>
        <v>383571</v>
      </c>
      <c r="D103" s="17">
        <f t="shared" si="56"/>
        <v>0</v>
      </c>
      <c r="E103" s="17">
        <f t="shared" si="56"/>
        <v>60093</v>
      </c>
      <c r="F103" s="17">
        <f t="shared" si="56"/>
        <v>545264</v>
      </c>
      <c r="G103" s="17">
        <f t="shared" si="56"/>
        <v>100601</v>
      </c>
      <c r="H103" s="17">
        <f t="shared" si="56"/>
        <v>359494</v>
      </c>
      <c r="I103" s="17">
        <f t="shared" si="56"/>
        <v>0</v>
      </c>
      <c r="J103" s="17">
        <f t="shared" si="56"/>
        <v>54045</v>
      </c>
      <c r="K103" s="17">
        <f t="shared" si="56"/>
        <v>514140</v>
      </c>
      <c r="L103" s="17">
        <f>+L104+L108</f>
        <v>999</v>
      </c>
      <c r="M103" s="17">
        <f>+M104+M108</f>
        <v>24077</v>
      </c>
      <c r="N103" s="17"/>
      <c r="O103" s="17">
        <f>+O104+O108</f>
        <v>6048</v>
      </c>
      <c r="P103" s="17">
        <f>+P104+P108</f>
        <v>31124</v>
      </c>
      <c r="Q103" s="18">
        <f>+K103/F103</f>
        <v>0.94291939317468232</v>
      </c>
    </row>
    <row r="104" spans="1:17" ht="12.75" customHeight="1">
      <c r="A104" s="41" t="s">
        <v>15</v>
      </c>
      <c r="B104" s="20">
        <f t="shared" ref="B104:K104" si="57">+B105+B106+B107</f>
        <v>101600</v>
      </c>
      <c r="C104" s="20">
        <f t="shared" si="57"/>
        <v>352939</v>
      </c>
      <c r="D104" s="20">
        <f t="shared" si="57"/>
        <v>0</v>
      </c>
      <c r="E104" s="20">
        <f t="shared" si="57"/>
        <v>57365</v>
      </c>
      <c r="F104" s="20">
        <f t="shared" si="57"/>
        <v>511904</v>
      </c>
      <c r="G104" s="20">
        <f t="shared" si="57"/>
        <v>100601</v>
      </c>
      <c r="H104" s="20">
        <f t="shared" si="57"/>
        <v>328862</v>
      </c>
      <c r="I104" s="20">
        <f t="shared" si="57"/>
        <v>0</v>
      </c>
      <c r="J104" s="20">
        <f t="shared" si="57"/>
        <v>51317</v>
      </c>
      <c r="K104" s="20">
        <f t="shared" si="57"/>
        <v>480780</v>
      </c>
      <c r="L104" s="20">
        <f>+L105+L106+L107</f>
        <v>999</v>
      </c>
      <c r="M104" s="20">
        <f>+M105+M106+M107</f>
        <v>24077</v>
      </c>
      <c r="N104" s="20"/>
      <c r="O104" s="20">
        <f>+O105+O106+O107</f>
        <v>6048</v>
      </c>
      <c r="P104" s="21">
        <f>+P105+P106+P107</f>
        <v>31124</v>
      </c>
      <c r="Q104" s="18"/>
    </row>
    <row r="105" spans="1:17" ht="12.75" customHeight="1">
      <c r="A105" s="22" t="s">
        <v>16</v>
      </c>
      <c r="B105" s="29">
        <v>69025</v>
      </c>
      <c r="C105" s="29">
        <v>348104</v>
      </c>
      <c r="D105" s="29"/>
      <c r="E105" s="30">
        <v>57365</v>
      </c>
      <c r="F105" s="24">
        <f>SUM(B105:E105)</f>
        <v>474494</v>
      </c>
      <c r="G105" s="29">
        <f>72970-3945</f>
        <v>69025</v>
      </c>
      <c r="H105" s="29">
        <f>280449+39633+3945</f>
        <v>324027</v>
      </c>
      <c r="I105" s="29"/>
      <c r="J105" s="29">
        <f>8100+43217</f>
        <v>51317</v>
      </c>
      <c r="K105" s="24">
        <f>SUM(G105:J105)</f>
        <v>444369</v>
      </c>
      <c r="L105" s="25">
        <f t="shared" ref="L105:M107" si="58">+B105-G105</f>
        <v>0</v>
      </c>
      <c r="M105" s="25">
        <f t="shared" si="58"/>
        <v>24077</v>
      </c>
      <c r="N105" s="25"/>
      <c r="O105" s="25">
        <f>+E105-J105</f>
        <v>6048</v>
      </c>
      <c r="P105" s="26">
        <f>SUM(L105:O105)</f>
        <v>30125</v>
      </c>
      <c r="Q105" s="18"/>
    </row>
    <row r="106" spans="1:17" ht="12.75" customHeight="1">
      <c r="A106" s="22" t="s">
        <v>17</v>
      </c>
      <c r="B106" s="29">
        <v>25713</v>
      </c>
      <c r="C106" s="34"/>
      <c r="D106" s="34"/>
      <c r="E106" s="30"/>
      <c r="F106" s="24">
        <f>SUM(B106:E106)</f>
        <v>25713</v>
      </c>
      <c r="G106" s="24">
        <v>25707</v>
      </c>
      <c r="H106" s="34"/>
      <c r="I106" s="34"/>
      <c r="J106" s="34"/>
      <c r="K106" s="24">
        <f>SUM(G106:J106)</f>
        <v>25707</v>
      </c>
      <c r="L106" s="25">
        <f t="shared" si="58"/>
        <v>6</v>
      </c>
      <c r="M106" s="25">
        <f t="shared" si="58"/>
        <v>0</v>
      </c>
      <c r="N106" s="25"/>
      <c r="O106" s="25">
        <f>+E106-J106</f>
        <v>0</v>
      </c>
      <c r="P106" s="26">
        <f>SUM(L106:O106)</f>
        <v>6</v>
      </c>
      <c r="Q106" s="18"/>
    </row>
    <row r="107" spans="1:17" ht="12.75" customHeight="1">
      <c r="A107" s="22" t="s">
        <v>18</v>
      </c>
      <c r="B107" s="29">
        <v>6862</v>
      </c>
      <c r="C107" s="29">
        <v>4835</v>
      </c>
      <c r="D107" s="29"/>
      <c r="E107" s="30"/>
      <c r="F107" s="24">
        <f>SUM(B107:E107)</f>
        <v>11697</v>
      </c>
      <c r="G107" s="29">
        <v>5869</v>
      </c>
      <c r="H107" s="29">
        <v>4835</v>
      </c>
      <c r="I107" s="29"/>
      <c r="J107" s="34"/>
      <c r="K107" s="24">
        <f>SUM(G107:J107)</f>
        <v>10704</v>
      </c>
      <c r="L107" s="25">
        <f t="shared" si="58"/>
        <v>993</v>
      </c>
      <c r="M107" s="25">
        <f t="shared" si="58"/>
        <v>0</v>
      </c>
      <c r="N107" s="25"/>
      <c r="O107" s="25">
        <f>+E107-J107</f>
        <v>0</v>
      </c>
      <c r="P107" s="26">
        <f>SUM(L107:O107)</f>
        <v>993</v>
      </c>
      <c r="Q107" s="18"/>
    </row>
    <row r="108" spans="1:17" ht="12.75" customHeight="1">
      <c r="A108" s="22" t="s">
        <v>19</v>
      </c>
      <c r="B108" s="27">
        <f t="shared" ref="B108:K108" si="59">+B109+B110</f>
        <v>0</v>
      </c>
      <c r="C108" s="27">
        <f t="shared" si="59"/>
        <v>30632</v>
      </c>
      <c r="D108" s="27">
        <f t="shared" si="59"/>
        <v>0</v>
      </c>
      <c r="E108" s="27">
        <f t="shared" si="59"/>
        <v>2728</v>
      </c>
      <c r="F108" s="27">
        <f t="shared" si="59"/>
        <v>33360</v>
      </c>
      <c r="G108" s="27">
        <f t="shared" si="59"/>
        <v>0</v>
      </c>
      <c r="H108" s="27">
        <f t="shared" si="59"/>
        <v>30632</v>
      </c>
      <c r="I108" s="27">
        <f t="shared" si="59"/>
        <v>0</v>
      </c>
      <c r="J108" s="27">
        <f t="shared" si="59"/>
        <v>2728</v>
      </c>
      <c r="K108" s="27">
        <f t="shared" si="59"/>
        <v>33360</v>
      </c>
      <c r="L108" s="27">
        <f t="shared" ref="L108:P108" si="60">+L109+L110</f>
        <v>0</v>
      </c>
      <c r="M108" s="27">
        <f t="shared" si="60"/>
        <v>0</v>
      </c>
      <c r="N108" s="27"/>
      <c r="O108" s="27">
        <f t="shared" si="60"/>
        <v>0</v>
      </c>
      <c r="P108" s="28">
        <f t="shared" si="60"/>
        <v>0</v>
      </c>
      <c r="Q108" s="18"/>
    </row>
    <row r="109" spans="1:17" ht="12.75" customHeight="1">
      <c r="A109" s="23" t="s">
        <v>20</v>
      </c>
      <c r="B109" s="29"/>
      <c r="C109" s="29">
        <v>30632</v>
      </c>
      <c r="D109" s="29"/>
      <c r="E109" s="30">
        <v>2728</v>
      </c>
      <c r="F109" s="24">
        <f>SUM(B109:E109)</f>
        <v>33360</v>
      </c>
      <c r="G109" s="29"/>
      <c r="H109" s="29">
        <v>30632</v>
      </c>
      <c r="I109" s="29"/>
      <c r="J109" s="29">
        <v>2728</v>
      </c>
      <c r="K109" s="24">
        <f>SUM(G109:J109)</f>
        <v>33360</v>
      </c>
      <c r="L109" s="25">
        <f>+B109-G109</f>
        <v>0</v>
      </c>
      <c r="M109" s="25">
        <f>+C109-H109</f>
        <v>0</v>
      </c>
      <c r="N109" s="25"/>
      <c r="O109" s="25">
        <f>+E109-J109</f>
        <v>0</v>
      </c>
      <c r="P109" s="26">
        <f>SUM(L109:O109)</f>
        <v>0</v>
      </c>
      <c r="Q109" s="18"/>
    </row>
    <row r="110" spans="1:17" ht="12.75" customHeight="1">
      <c r="A110" s="23" t="s">
        <v>21</v>
      </c>
      <c r="B110" s="29"/>
      <c r="C110" s="29"/>
      <c r="D110" s="29"/>
      <c r="E110" s="30"/>
      <c r="F110" s="24">
        <f>SUM(B110:E110)</f>
        <v>0</v>
      </c>
      <c r="G110" s="29"/>
      <c r="H110" s="29"/>
      <c r="I110" s="29"/>
      <c r="J110" s="29"/>
      <c r="K110" s="24">
        <f>SUM(G110:J110)</f>
        <v>0</v>
      </c>
      <c r="L110" s="25">
        <f>+B110-G110</f>
        <v>0</v>
      </c>
      <c r="M110" s="25">
        <f>+C110-H110</f>
        <v>0</v>
      </c>
      <c r="N110" s="25"/>
      <c r="O110" s="25">
        <f>+E110-J110</f>
        <v>0</v>
      </c>
      <c r="P110" s="26">
        <f>SUM(L110:O110)</f>
        <v>0</v>
      </c>
      <c r="Q110" s="18"/>
    </row>
    <row r="111" spans="1:17" ht="12.75" customHeight="1">
      <c r="A111" s="217"/>
      <c r="B111" s="44"/>
      <c r="C111" s="44"/>
      <c r="D111" s="44"/>
      <c r="E111" s="45"/>
      <c r="F111" s="77"/>
      <c r="G111" s="84"/>
      <c r="H111" s="84"/>
      <c r="I111" s="84"/>
      <c r="J111" s="84"/>
      <c r="K111" s="82"/>
      <c r="L111" s="44"/>
      <c r="M111" s="44"/>
      <c r="N111" s="44"/>
      <c r="O111" s="44"/>
      <c r="P111" s="75"/>
      <c r="Q111" s="76"/>
    </row>
    <row r="112" spans="1:17" ht="12.75" customHeight="1">
      <c r="A112" s="216" t="s">
        <v>41</v>
      </c>
      <c r="B112" s="17">
        <f t="shared" ref="B112:K112" si="61">+B113+B117</f>
        <v>74108</v>
      </c>
      <c r="C112" s="17">
        <f t="shared" si="61"/>
        <v>113613</v>
      </c>
      <c r="D112" s="17">
        <f t="shared" si="61"/>
        <v>0</v>
      </c>
      <c r="E112" s="17">
        <f t="shared" si="61"/>
        <v>14055</v>
      </c>
      <c r="F112" s="17">
        <f t="shared" si="61"/>
        <v>201776</v>
      </c>
      <c r="G112" s="17">
        <f t="shared" si="61"/>
        <v>70920</v>
      </c>
      <c r="H112" s="17">
        <f t="shared" si="61"/>
        <v>113195</v>
      </c>
      <c r="I112" s="17">
        <f t="shared" si="61"/>
        <v>0</v>
      </c>
      <c r="J112" s="17">
        <f t="shared" si="61"/>
        <v>10072</v>
      </c>
      <c r="K112" s="17">
        <f t="shared" si="61"/>
        <v>194187</v>
      </c>
      <c r="L112" s="17">
        <f>+L113+L117</f>
        <v>3188</v>
      </c>
      <c r="M112" s="17">
        <f>+M113+M117</f>
        <v>418</v>
      </c>
      <c r="N112" s="17"/>
      <c r="O112" s="17">
        <f>+O113+O117</f>
        <v>3983</v>
      </c>
      <c r="P112" s="17">
        <f>+P113+P117</f>
        <v>7589</v>
      </c>
      <c r="Q112" s="18">
        <f>+K112/F112</f>
        <v>0.96238898580604237</v>
      </c>
    </row>
    <row r="113" spans="1:17" ht="12.75" customHeight="1">
      <c r="A113" s="41" t="s">
        <v>15</v>
      </c>
      <c r="B113" s="20">
        <f t="shared" ref="B113:K113" si="62">+B114+B115+B116</f>
        <v>74108</v>
      </c>
      <c r="C113" s="20">
        <f t="shared" si="62"/>
        <v>113613</v>
      </c>
      <c r="D113" s="20">
        <f t="shared" si="62"/>
        <v>0</v>
      </c>
      <c r="E113" s="20">
        <f t="shared" si="62"/>
        <v>13892</v>
      </c>
      <c r="F113" s="20">
        <f t="shared" si="62"/>
        <v>201613</v>
      </c>
      <c r="G113" s="20">
        <f t="shared" si="62"/>
        <v>70920</v>
      </c>
      <c r="H113" s="20">
        <f t="shared" si="62"/>
        <v>113195</v>
      </c>
      <c r="I113" s="20">
        <f t="shared" si="62"/>
        <v>0</v>
      </c>
      <c r="J113" s="20">
        <f t="shared" si="62"/>
        <v>9909</v>
      </c>
      <c r="K113" s="20">
        <f t="shared" si="62"/>
        <v>194024</v>
      </c>
      <c r="L113" s="20">
        <f>+L114+L115+L116</f>
        <v>3188</v>
      </c>
      <c r="M113" s="20">
        <f>+M114+M115+M116</f>
        <v>418</v>
      </c>
      <c r="N113" s="20"/>
      <c r="O113" s="20">
        <f>+O114+O115+O116</f>
        <v>3983</v>
      </c>
      <c r="P113" s="21">
        <f>+P114+P115+P116</f>
        <v>7589</v>
      </c>
      <c r="Q113" s="18"/>
    </row>
    <row r="114" spans="1:17" ht="12.75" customHeight="1">
      <c r="A114" s="22" t="s">
        <v>16</v>
      </c>
      <c r="B114" s="29">
        <v>68048</v>
      </c>
      <c r="C114" s="29">
        <v>113613</v>
      </c>
      <c r="D114" s="29"/>
      <c r="E114" s="30">
        <v>13892</v>
      </c>
      <c r="F114" s="24">
        <f>SUM(B114:E114)</f>
        <v>195553</v>
      </c>
      <c r="G114" s="29">
        <v>64908</v>
      </c>
      <c r="H114" s="29">
        <v>113195</v>
      </c>
      <c r="I114" s="29"/>
      <c r="J114" s="29">
        <v>9909</v>
      </c>
      <c r="K114" s="24">
        <f>SUM(G114:J114)</f>
        <v>188012</v>
      </c>
      <c r="L114" s="25">
        <f t="shared" ref="L114:M116" si="63">+B114-G114</f>
        <v>3140</v>
      </c>
      <c r="M114" s="25">
        <f t="shared" si="63"/>
        <v>418</v>
      </c>
      <c r="N114" s="25"/>
      <c r="O114" s="25">
        <f>+E114-J114</f>
        <v>3983</v>
      </c>
      <c r="P114" s="26">
        <f>SUM(L114:O114)</f>
        <v>7541</v>
      </c>
      <c r="Q114" s="18"/>
    </row>
    <row r="115" spans="1:17" ht="12.75" customHeight="1">
      <c r="A115" s="22" t="s">
        <v>17</v>
      </c>
      <c r="B115" s="29">
        <v>631</v>
      </c>
      <c r="C115" s="34"/>
      <c r="D115" s="34"/>
      <c r="E115" s="30"/>
      <c r="F115" s="24">
        <f>SUM(B115:E115)</f>
        <v>631</v>
      </c>
      <c r="G115" s="29">
        <v>631</v>
      </c>
      <c r="H115" s="34"/>
      <c r="I115" s="34"/>
      <c r="J115" s="34"/>
      <c r="K115" s="24">
        <f>SUM(G115:J115)</f>
        <v>631</v>
      </c>
      <c r="L115" s="25">
        <f t="shared" si="63"/>
        <v>0</v>
      </c>
      <c r="M115" s="25">
        <f t="shared" si="63"/>
        <v>0</v>
      </c>
      <c r="N115" s="25"/>
      <c r="O115" s="25">
        <f>+E115-J115</f>
        <v>0</v>
      </c>
      <c r="P115" s="26">
        <f>SUM(L115:O115)</f>
        <v>0</v>
      </c>
      <c r="Q115" s="18"/>
    </row>
    <row r="116" spans="1:17" ht="12.75" customHeight="1">
      <c r="A116" s="22" t="s">
        <v>18</v>
      </c>
      <c r="B116" s="29">
        <v>5429</v>
      </c>
      <c r="C116" s="34"/>
      <c r="D116" s="34"/>
      <c r="E116" s="35"/>
      <c r="F116" s="24">
        <f>SUM(B116:E116)</f>
        <v>5429</v>
      </c>
      <c r="G116" s="29">
        <v>5381</v>
      </c>
      <c r="H116" s="34"/>
      <c r="I116" s="34"/>
      <c r="J116" s="34"/>
      <c r="K116" s="24">
        <f>SUM(G116:J116)</f>
        <v>5381</v>
      </c>
      <c r="L116" s="25">
        <f t="shared" si="63"/>
        <v>48</v>
      </c>
      <c r="M116" s="25">
        <f t="shared" si="63"/>
        <v>0</v>
      </c>
      <c r="N116" s="25"/>
      <c r="O116" s="25">
        <f>+E116-J116</f>
        <v>0</v>
      </c>
      <c r="P116" s="26">
        <f>SUM(L116:O116)</f>
        <v>48</v>
      </c>
      <c r="Q116" s="18"/>
    </row>
    <row r="117" spans="1:17" ht="12.75" customHeight="1">
      <c r="A117" s="22" t="s">
        <v>19</v>
      </c>
      <c r="B117" s="27">
        <f t="shared" ref="B117:K117" si="64">+B118+B119</f>
        <v>0</v>
      </c>
      <c r="C117" s="27">
        <f t="shared" si="64"/>
        <v>0</v>
      </c>
      <c r="D117" s="27">
        <f t="shared" si="64"/>
        <v>0</v>
      </c>
      <c r="E117" s="27">
        <f t="shared" si="64"/>
        <v>163</v>
      </c>
      <c r="F117" s="27">
        <f t="shared" si="64"/>
        <v>163</v>
      </c>
      <c r="G117" s="27">
        <f t="shared" si="64"/>
        <v>0</v>
      </c>
      <c r="H117" s="27">
        <f t="shared" si="64"/>
        <v>0</v>
      </c>
      <c r="I117" s="27">
        <f t="shared" si="64"/>
        <v>0</v>
      </c>
      <c r="J117" s="27">
        <f t="shared" si="64"/>
        <v>163</v>
      </c>
      <c r="K117" s="27">
        <f t="shared" si="64"/>
        <v>163</v>
      </c>
      <c r="L117" s="27">
        <f t="shared" ref="L117:P117" si="65">+L118+L119</f>
        <v>0</v>
      </c>
      <c r="M117" s="27">
        <f t="shared" si="65"/>
        <v>0</v>
      </c>
      <c r="N117" s="27"/>
      <c r="O117" s="27">
        <f t="shared" si="65"/>
        <v>0</v>
      </c>
      <c r="P117" s="28">
        <f t="shared" si="65"/>
        <v>0</v>
      </c>
      <c r="Q117" s="18"/>
    </row>
    <row r="118" spans="1:17" ht="12.75" customHeight="1">
      <c r="A118" s="23" t="s">
        <v>20</v>
      </c>
      <c r="B118" s="29"/>
      <c r="C118" s="29"/>
      <c r="D118" s="29"/>
      <c r="E118" s="30">
        <v>163</v>
      </c>
      <c r="F118" s="24">
        <f>SUM(B118:E118)</f>
        <v>163</v>
      </c>
      <c r="G118" s="29"/>
      <c r="H118" s="29"/>
      <c r="I118" s="29"/>
      <c r="J118" s="29">
        <v>163</v>
      </c>
      <c r="K118" s="24">
        <f>SUM(G118:J118)</f>
        <v>163</v>
      </c>
      <c r="L118" s="25">
        <f>+B118-G118</f>
        <v>0</v>
      </c>
      <c r="M118" s="25">
        <f>+C118-H118</f>
        <v>0</v>
      </c>
      <c r="N118" s="25"/>
      <c r="O118" s="25">
        <f>+E118-J118</f>
        <v>0</v>
      </c>
      <c r="P118" s="26">
        <f>SUM(L118:O118)</f>
        <v>0</v>
      </c>
      <c r="Q118" s="18"/>
    </row>
    <row r="119" spans="1:17" ht="12.75" customHeight="1">
      <c r="A119" s="23" t="s">
        <v>21</v>
      </c>
      <c r="B119" s="29"/>
      <c r="C119" s="29"/>
      <c r="D119" s="29"/>
      <c r="E119" s="30"/>
      <c r="F119" s="24">
        <f>SUM(B119:E119)</f>
        <v>0</v>
      </c>
      <c r="G119" s="29"/>
      <c r="H119" s="29"/>
      <c r="I119" s="29"/>
      <c r="J119" s="29"/>
      <c r="K119" s="24">
        <f>SUM(G119:J119)</f>
        <v>0</v>
      </c>
      <c r="L119" s="25">
        <f>+B119-G119</f>
        <v>0</v>
      </c>
      <c r="M119" s="25">
        <f>+C119-H119</f>
        <v>0</v>
      </c>
      <c r="N119" s="25"/>
      <c r="O119" s="25">
        <f>+E119-J119</f>
        <v>0</v>
      </c>
      <c r="P119" s="26">
        <f>SUM(L119:O119)</f>
        <v>0</v>
      </c>
      <c r="Q119" s="18"/>
    </row>
    <row r="120" spans="1:17" ht="12.75" customHeight="1">
      <c r="A120" s="65"/>
      <c r="B120" s="44"/>
      <c r="C120" s="44"/>
      <c r="D120" s="44"/>
      <c r="E120" s="45"/>
      <c r="F120" s="77"/>
      <c r="G120" s="84"/>
      <c r="H120" s="84"/>
      <c r="I120" s="84"/>
      <c r="J120" s="84"/>
      <c r="K120" s="82"/>
      <c r="L120" s="44"/>
      <c r="M120" s="44"/>
      <c r="N120" s="44"/>
      <c r="O120" s="44"/>
      <c r="P120" s="75"/>
      <c r="Q120" s="76"/>
    </row>
    <row r="121" spans="1:17">
      <c r="A121" s="80"/>
    </row>
    <row r="122" spans="1:17">
      <c r="A122" s="80"/>
    </row>
    <row r="123" spans="1:17">
      <c r="A123" s="80"/>
    </row>
    <row r="124" spans="1:17">
      <c r="A124" s="80"/>
    </row>
    <row r="125" spans="1:17">
      <c r="A125" s="80"/>
    </row>
    <row r="126" spans="1:17">
      <c r="A126" s="80"/>
    </row>
    <row r="127" spans="1:17">
      <c r="A127" s="80"/>
    </row>
    <row r="128" spans="1:17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  <row r="1108" spans="1:1">
      <c r="A1108" s="80"/>
    </row>
    <row r="1109" spans="1:1">
      <c r="A1109" s="80"/>
    </row>
    <row r="1110" spans="1:1">
      <c r="A1110" s="80"/>
    </row>
    <row r="1111" spans="1:1">
      <c r="A1111" s="80"/>
    </row>
    <row r="1112" spans="1:1">
      <c r="A1112" s="80"/>
    </row>
    <row r="1113" spans="1:1">
      <c r="A1113" s="80"/>
    </row>
    <row r="1114" spans="1:1">
      <c r="A1114" s="80"/>
    </row>
    <row r="1115" spans="1:1">
      <c r="A1115" s="80"/>
    </row>
    <row r="1116" spans="1:1">
      <c r="A1116" s="80"/>
    </row>
    <row r="1117" spans="1:1">
      <c r="A1117" s="80"/>
    </row>
    <row r="1118" spans="1:1">
      <c r="A1118" s="80"/>
    </row>
    <row r="1119" spans="1:1">
      <c r="A1119" s="80"/>
    </row>
    <row r="1120" spans="1:1">
      <c r="A1120" s="80"/>
    </row>
    <row r="1121" spans="1:1">
      <c r="A1121" s="80"/>
    </row>
    <row r="1122" spans="1:1">
      <c r="A1122" s="80"/>
    </row>
    <row r="1123" spans="1:1">
      <c r="A1123" s="80"/>
    </row>
    <row r="1124" spans="1:1">
      <c r="A1124" s="80"/>
    </row>
    <row r="1125" spans="1:1">
      <c r="A1125" s="80"/>
    </row>
    <row r="1126" spans="1:1">
      <c r="A1126" s="80"/>
    </row>
    <row r="1127" spans="1:1">
      <c r="A1127" s="80"/>
    </row>
    <row r="1128" spans="1:1">
      <c r="A1128" s="80"/>
    </row>
    <row r="1129" spans="1:1">
      <c r="A1129" s="80"/>
    </row>
    <row r="1130" spans="1:1">
      <c r="A1130" s="80"/>
    </row>
    <row r="1131" spans="1:1">
      <c r="A1131" s="80"/>
    </row>
    <row r="1132" spans="1:1">
      <c r="A1132" s="80"/>
    </row>
    <row r="1133" spans="1:1">
      <c r="A1133" s="80"/>
    </row>
    <row r="1134" spans="1:1">
      <c r="A1134" s="80"/>
    </row>
    <row r="1135" spans="1:1">
      <c r="A1135" s="80"/>
    </row>
    <row r="1136" spans="1:1">
      <c r="A1136" s="80"/>
    </row>
    <row r="1137" spans="1:1">
      <c r="A1137" s="80"/>
    </row>
    <row r="1138" spans="1:1">
      <c r="A1138" s="80"/>
    </row>
    <row r="1139" spans="1:1">
      <c r="A1139" s="80"/>
    </row>
    <row r="1140" spans="1:1">
      <c r="A1140" s="80"/>
    </row>
    <row r="1141" spans="1:1">
      <c r="A1141" s="80"/>
    </row>
    <row r="1142" spans="1:1">
      <c r="A1142" s="80"/>
    </row>
    <row r="1143" spans="1:1">
      <c r="A1143" s="80"/>
    </row>
    <row r="1144" spans="1:1">
      <c r="A1144" s="80"/>
    </row>
    <row r="1145" spans="1:1">
      <c r="A1145" s="80"/>
    </row>
    <row r="1146" spans="1:1">
      <c r="A1146" s="80"/>
    </row>
    <row r="1147" spans="1:1">
      <c r="A1147" s="80"/>
    </row>
    <row r="1148" spans="1:1">
      <c r="A1148" s="80"/>
    </row>
    <row r="1149" spans="1:1">
      <c r="A1149" s="80"/>
    </row>
    <row r="1150" spans="1:1">
      <c r="A1150" s="80"/>
    </row>
    <row r="1151" spans="1:1">
      <c r="A1151" s="80"/>
    </row>
    <row r="1152" spans="1:1">
      <c r="A1152" s="80"/>
    </row>
    <row r="1153" spans="1:1">
      <c r="A1153" s="80"/>
    </row>
    <row r="1154" spans="1:1">
      <c r="A1154" s="80"/>
    </row>
    <row r="1155" spans="1:1">
      <c r="A1155" s="80"/>
    </row>
    <row r="1156" spans="1:1">
      <c r="A1156" s="80"/>
    </row>
    <row r="1157" spans="1:1">
      <c r="A1157" s="80"/>
    </row>
    <row r="1158" spans="1:1">
      <c r="A1158" s="80"/>
    </row>
    <row r="1159" spans="1:1">
      <c r="A1159" s="80"/>
    </row>
    <row r="1160" spans="1:1">
      <c r="A1160" s="80"/>
    </row>
    <row r="1161" spans="1:1">
      <c r="A1161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.1" top="0.41" bottom="0.1" header="0.17" footer="0.32"/>
  <pageSetup paperSize="9" scale="69" fitToHeight="15" orientation="landscape" r:id="rId1"/>
  <headerFooter alignWithMargins="0">
    <oddFooter>Page &amp;P of &amp;N</oddFooter>
  </headerFooter>
  <rowBreaks count="2" manualBreakCount="2">
    <brk id="57" max="16" man="1"/>
    <brk id="11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107"/>
  <sheetViews>
    <sheetView showRuler="0" zoomScaleSheetLayoutView="100" workbookViewId="0">
      <pane xSplit="1" ySplit="8" topLeftCell="B9" activePane="bottomRight" state="frozen"/>
      <selection activeCell="A1459" sqref="A1459"/>
      <selection pane="topRight" activeCell="A1459" sqref="A1459"/>
      <selection pane="bottomLeft" activeCell="A1459" sqref="A1459"/>
      <selection pane="bottomRight" activeCell="G27" sqref="G27"/>
    </sheetView>
  </sheetViews>
  <sheetFormatPr defaultRowHeight="12.75"/>
  <cols>
    <col min="1" max="1" width="32.57031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1" t="s">
        <v>42</v>
      </c>
      <c r="B10" s="17">
        <f t="shared" ref="B10:P10" si="0">+B11+B15</f>
        <v>5635575</v>
      </c>
      <c r="C10" s="17">
        <f t="shared" si="0"/>
        <v>1054294</v>
      </c>
      <c r="D10" s="17">
        <f t="shared" si="0"/>
        <v>100</v>
      </c>
      <c r="E10" s="17">
        <f t="shared" si="0"/>
        <v>179752</v>
      </c>
      <c r="F10" s="17">
        <f t="shared" si="0"/>
        <v>6869721</v>
      </c>
      <c r="G10" s="17">
        <f t="shared" si="0"/>
        <v>5629917</v>
      </c>
      <c r="H10" s="17">
        <f t="shared" si="0"/>
        <v>429591</v>
      </c>
      <c r="I10" s="17">
        <f t="shared" si="0"/>
        <v>24</v>
      </c>
      <c r="J10" s="17">
        <f t="shared" si="0"/>
        <v>40929</v>
      </c>
      <c r="K10" s="17">
        <f t="shared" si="0"/>
        <v>6100461</v>
      </c>
      <c r="L10" s="17">
        <f t="shared" si="0"/>
        <v>5658</v>
      </c>
      <c r="M10" s="17">
        <f t="shared" si="0"/>
        <v>624703</v>
      </c>
      <c r="N10" s="17">
        <f t="shared" si="0"/>
        <v>76</v>
      </c>
      <c r="O10" s="17">
        <f t="shared" si="0"/>
        <v>138823</v>
      </c>
      <c r="P10" s="17">
        <f t="shared" si="0"/>
        <v>769260</v>
      </c>
      <c r="Q10" s="18">
        <f>+K10/F10</f>
        <v>0.88802165328111582</v>
      </c>
    </row>
    <row r="11" spans="1:18" ht="12.75" customHeight="1">
      <c r="A11" s="41" t="s">
        <v>15</v>
      </c>
      <c r="B11" s="20">
        <f t="shared" ref="B11:P11" si="1">+B12+B13+B14</f>
        <v>5635575</v>
      </c>
      <c r="C11" s="20">
        <f t="shared" si="1"/>
        <v>1009734</v>
      </c>
      <c r="D11" s="20">
        <f t="shared" si="1"/>
        <v>100</v>
      </c>
      <c r="E11" s="20">
        <f t="shared" si="1"/>
        <v>177546</v>
      </c>
      <c r="F11" s="20">
        <f t="shared" si="1"/>
        <v>6822955</v>
      </c>
      <c r="G11" s="20">
        <f t="shared" si="1"/>
        <v>5629917</v>
      </c>
      <c r="H11" s="20">
        <f t="shared" si="1"/>
        <v>394672</v>
      </c>
      <c r="I11" s="20">
        <f t="shared" si="1"/>
        <v>24</v>
      </c>
      <c r="J11" s="20">
        <f t="shared" si="1"/>
        <v>39400</v>
      </c>
      <c r="K11" s="20">
        <f t="shared" si="1"/>
        <v>6064013</v>
      </c>
      <c r="L11" s="20">
        <f t="shared" si="1"/>
        <v>5658</v>
      </c>
      <c r="M11" s="20">
        <f t="shared" si="1"/>
        <v>615062</v>
      </c>
      <c r="N11" s="20">
        <f t="shared" si="1"/>
        <v>76</v>
      </c>
      <c r="O11" s="20">
        <f t="shared" si="1"/>
        <v>138146</v>
      </c>
      <c r="P11" s="21">
        <f t="shared" si="1"/>
        <v>758942</v>
      </c>
      <c r="Q11" s="18"/>
    </row>
    <row r="12" spans="1:18" ht="12.75" customHeight="1">
      <c r="A12" s="22" t="s">
        <v>16</v>
      </c>
      <c r="B12" s="23">
        <f t="shared" ref="B12:E14" si="2">+B21+B30</f>
        <v>946098</v>
      </c>
      <c r="C12" s="23">
        <f t="shared" si="2"/>
        <v>509630</v>
      </c>
      <c r="D12" s="23">
        <f t="shared" si="2"/>
        <v>100</v>
      </c>
      <c r="E12" s="23">
        <f t="shared" si="2"/>
        <v>53403</v>
      </c>
      <c r="F12" s="24">
        <f>SUM(B12:E12)</f>
        <v>1509231</v>
      </c>
      <c r="G12" s="23">
        <f t="shared" ref="G12:J14" si="3">+G21+G30</f>
        <v>943153</v>
      </c>
      <c r="H12" s="23">
        <f t="shared" si="3"/>
        <v>387721</v>
      </c>
      <c r="I12" s="23">
        <f t="shared" si="3"/>
        <v>24</v>
      </c>
      <c r="J12" s="23">
        <f t="shared" si="3"/>
        <v>34000</v>
      </c>
      <c r="K12" s="24">
        <f>SUM(G12:J12)</f>
        <v>1364898</v>
      </c>
      <c r="L12" s="25">
        <f t="shared" ref="L12:O14" si="4">+B12-G12</f>
        <v>2945</v>
      </c>
      <c r="M12" s="25">
        <f t="shared" si="4"/>
        <v>121909</v>
      </c>
      <c r="N12" s="25">
        <f t="shared" si="4"/>
        <v>76</v>
      </c>
      <c r="O12" s="25">
        <f t="shared" si="4"/>
        <v>19403</v>
      </c>
      <c r="P12" s="26">
        <f>SUM(L12:O12)</f>
        <v>144333</v>
      </c>
      <c r="Q12" s="18"/>
    </row>
    <row r="13" spans="1:18" ht="12.75" customHeight="1">
      <c r="A13" s="22" t="s">
        <v>17</v>
      </c>
      <c r="B13" s="23">
        <f t="shared" si="2"/>
        <v>3423930</v>
      </c>
      <c r="C13" s="23">
        <f t="shared" si="2"/>
        <v>481750</v>
      </c>
      <c r="D13" s="23">
        <f t="shared" si="2"/>
        <v>0</v>
      </c>
      <c r="E13" s="23">
        <f t="shared" si="2"/>
        <v>118250</v>
      </c>
      <c r="F13" s="24">
        <f>SUM(B13:E13)</f>
        <v>4023930</v>
      </c>
      <c r="G13" s="23">
        <f t="shared" si="3"/>
        <v>3422203</v>
      </c>
      <c r="H13" s="23">
        <f t="shared" si="3"/>
        <v>0</v>
      </c>
      <c r="I13" s="23">
        <f t="shared" si="3"/>
        <v>0</v>
      </c>
      <c r="J13" s="23">
        <f t="shared" si="3"/>
        <v>0</v>
      </c>
      <c r="K13" s="24">
        <f>SUM(G13:J13)</f>
        <v>3422203</v>
      </c>
      <c r="L13" s="25">
        <f t="shared" si="4"/>
        <v>1727</v>
      </c>
      <c r="M13" s="25">
        <f t="shared" si="4"/>
        <v>481750</v>
      </c>
      <c r="N13" s="25">
        <f t="shared" si="4"/>
        <v>0</v>
      </c>
      <c r="O13" s="25">
        <f t="shared" si="4"/>
        <v>118250</v>
      </c>
      <c r="P13" s="26">
        <f>SUM(L13:O13)</f>
        <v>601727</v>
      </c>
      <c r="Q13" s="18"/>
    </row>
    <row r="14" spans="1:18" ht="12.75" customHeight="1">
      <c r="A14" s="22" t="s">
        <v>18</v>
      </c>
      <c r="B14" s="23">
        <f t="shared" si="2"/>
        <v>1265547</v>
      </c>
      <c r="C14" s="23">
        <f>+C23+C32</f>
        <v>18354</v>
      </c>
      <c r="D14" s="23">
        <f>+D23+D32</f>
        <v>0</v>
      </c>
      <c r="E14" s="23">
        <f t="shared" si="2"/>
        <v>5893</v>
      </c>
      <c r="F14" s="24">
        <f>SUM(B14:E14)</f>
        <v>1289794</v>
      </c>
      <c r="G14" s="23">
        <f t="shared" si="3"/>
        <v>1264561</v>
      </c>
      <c r="H14" s="23">
        <f t="shared" si="3"/>
        <v>6951</v>
      </c>
      <c r="I14" s="23">
        <f t="shared" si="3"/>
        <v>0</v>
      </c>
      <c r="J14" s="23">
        <f t="shared" si="3"/>
        <v>5400</v>
      </c>
      <c r="K14" s="24">
        <f>SUM(G14:J14)</f>
        <v>1276912</v>
      </c>
      <c r="L14" s="25">
        <f t="shared" si="4"/>
        <v>986</v>
      </c>
      <c r="M14" s="25">
        <f t="shared" si="4"/>
        <v>11403</v>
      </c>
      <c r="N14" s="25">
        <f t="shared" si="4"/>
        <v>0</v>
      </c>
      <c r="O14" s="25">
        <f t="shared" si="4"/>
        <v>493</v>
      </c>
      <c r="P14" s="26">
        <f>SUM(L14:O14)</f>
        <v>12882</v>
      </c>
      <c r="Q14" s="18"/>
    </row>
    <row r="15" spans="1:18" ht="12.75" customHeight="1">
      <c r="A15" s="22" t="s">
        <v>19</v>
      </c>
      <c r="B15" s="44">
        <f t="shared" ref="B15:P15" si="5">+B16+B17</f>
        <v>0</v>
      </c>
      <c r="C15" s="44">
        <f t="shared" si="5"/>
        <v>44560</v>
      </c>
      <c r="D15" s="44">
        <f t="shared" si="5"/>
        <v>0</v>
      </c>
      <c r="E15" s="45">
        <f t="shared" si="5"/>
        <v>2206</v>
      </c>
      <c r="F15" s="44">
        <f t="shared" si="5"/>
        <v>46766</v>
      </c>
      <c r="G15" s="44">
        <f t="shared" si="5"/>
        <v>0</v>
      </c>
      <c r="H15" s="44">
        <f t="shared" si="5"/>
        <v>34919</v>
      </c>
      <c r="I15" s="44">
        <f t="shared" si="5"/>
        <v>0</v>
      </c>
      <c r="J15" s="45">
        <f t="shared" si="5"/>
        <v>1529</v>
      </c>
      <c r="K15" s="44">
        <f t="shared" si="5"/>
        <v>36448</v>
      </c>
      <c r="L15" s="44">
        <f t="shared" si="5"/>
        <v>0</v>
      </c>
      <c r="M15" s="44">
        <f t="shared" si="5"/>
        <v>9641</v>
      </c>
      <c r="N15" s="44">
        <f t="shared" si="5"/>
        <v>0</v>
      </c>
      <c r="O15" s="44">
        <f t="shared" si="5"/>
        <v>677</v>
      </c>
      <c r="P15" s="45">
        <f t="shared" si="5"/>
        <v>10318</v>
      </c>
      <c r="Q15" s="18"/>
    </row>
    <row r="16" spans="1:18" ht="12.75" customHeight="1">
      <c r="A16" s="23" t="s">
        <v>20</v>
      </c>
      <c r="B16" s="23">
        <f t="shared" ref="B16:E17" si="6">+B25+B34</f>
        <v>0</v>
      </c>
      <c r="C16" s="23">
        <f t="shared" si="6"/>
        <v>44560</v>
      </c>
      <c r="D16" s="23">
        <f t="shared" si="6"/>
        <v>0</v>
      </c>
      <c r="E16" s="23">
        <f t="shared" si="6"/>
        <v>2206</v>
      </c>
      <c r="F16" s="24">
        <f>SUM(B16:E16)</f>
        <v>46766</v>
      </c>
      <c r="G16" s="23">
        <f t="shared" ref="G16:J17" si="7">+G25+G34</f>
        <v>0</v>
      </c>
      <c r="H16" s="23">
        <f t="shared" si="7"/>
        <v>34919</v>
      </c>
      <c r="I16" s="23">
        <f t="shared" si="7"/>
        <v>0</v>
      </c>
      <c r="J16" s="23">
        <f t="shared" si="7"/>
        <v>1529</v>
      </c>
      <c r="K16" s="24">
        <f>SUM(G16:J16)</f>
        <v>36448</v>
      </c>
      <c r="L16" s="25">
        <f>+B16-G16</f>
        <v>0</v>
      </c>
      <c r="M16" s="25">
        <f>+C16-H16</f>
        <v>9641</v>
      </c>
      <c r="N16" s="25">
        <f>+D16-I16</f>
        <v>0</v>
      </c>
      <c r="O16" s="25">
        <f>+E16-J16</f>
        <v>677</v>
      </c>
      <c r="P16" s="26">
        <f>SUM(L16:O16)</f>
        <v>10318</v>
      </c>
      <c r="Q16" s="18"/>
    </row>
    <row r="17" spans="1:17" ht="12.75" customHeight="1">
      <c r="A17" s="23" t="s">
        <v>21</v>
      </c>
      <c r="B17" s="23">
        <f t="shared" si="6"/>
        <v>0</v>
      </c>
      <c r="C17" s="23">
        <f t="shared" si="6"/>
        <v>0</v>
      </c>
      <c r="D17" s="23">
        <f t="shared" si="6"/>
        <v>0</v>
      </c>
      <c r="E17" s="23">
        <f t="shared" si="6"/>
        <v>0</v>
      </c>
      <c r="F17" s="24">
        <f>SUM(B17:E17)</f>
        <v>0</v>
      </c>
      <c r="G17" s="23">
        <f t="shared" si="7"/>
        <v>0</v>
      </c>
      <c r="H17" s="23">
        <f t="shared" si="7"/>
        <v>0</v>
      </c>
      <c r="I17" s="23">
        <f t="shared" si="7"/>
        <v>0</v>
      </c>
      <c r="J17" s="23">
        <f t="shared" si="7"/>
        <v>0</v>
      </c>
      <c r="K17" s="24">
        <f>SUM(G17:J17)</f>
        <v>0</v>
      </c>
      <c r="L17" s="25">
        <f>+B17-G17</f>
        <v>0</v>
      </c>
      <c r="M17" s="25">
        <f>+C17-H17</f>
        <v>0</v>
      </c>
      <c r="N17" s="25"/>
      <c r="O17" s="25">
        <f>+E17-J17</f>
        <v>0</v>
      </c>
      <c r="P17" s="26">
        <f>SUM(L17:O17)</f>
        <v>0</v>
      </c>
      <c r="Q17" s="18"/>
    </row>
    <row r="18" spans="1:17" ht="12.75" customHeight="1">
      <c r="A18" s="22"/>
      <c r="B18" s="25"/>
      <c r="C18" s="25"/>
      <c r="D18" s="25"/>
      <c r="E18" s="43"/>
      <c r="F18" s="24"/>
      <c r="G18" s="47"/>
      <c r="H18" s="47"/>
      <c r="I18" s="47"/>
      <c r="J18" s="47"/>
      <c r="K18" s="32"/>
      <c r="L18" s="25"/>
      <c r="M18" s="25"/>
      <c r="N18" s="25"/>
      <c r="O18" s="25"/>
      <c r="P18" s="26"/>
      <c r="Q18" s="18"/>
    </row>
    <row r="19" spans="1:17" ht="12.75" customHeight="1">
      <c r="A19" s="33" t="s">
        <v>31</v>
      </c>
      <c r="B19" s="17">
        <f t="shared" ref="B19:K19" si="8">+B20+B24</f>
        <v>5616128</v>
      </c>
      <c r="C19" s="17">
        <f t="shared" si="8"/>
        <v>1024224</v>
      </c>
      <c r="D19" s="17">
        <f t="shared" si="8"/>
        <v>100</v>
      </c>
      <c r="E19" s="17">
        <f t="shared" si="8"/>
        <v>177504</v>
      </c>
      <c r="F19" s="17">
        <f t="shared" si="8"/>
        <v>6817956</v>
      </c>
      <c r="G19" s="17">
        <f t="shared" si="8"/>
        <v>5610523</v>
      </c>
      <c r="H19" s="17">
        <f t="shared" si="8"/>
        <v>418984</v>
      </c>
      <c r="I19" s="17">
        <f t="shared" si="8"/>
        <v>24</v>
      </c>
      <c r="J19" s="17">
        <f t="shared" si="8"/>
        <v>39664</v>
      </c>
      <c r="K19" s="17">
        <f t="shared" si="8"/>
        <v>6069195</v>
      </c>
      <c r="L19" s="17">
        <f>+L20+L24</f>
        <v>5605</v>
      </c>
      <c r="M19" s="17">
        <f>+M20+M24</f>
        <v>605240</v>
      </c>
      <c r="N19" s="17">
        <f>+N20+N24</f>
        <v>76</v>
      </c>
      <c r="O19" s="17">
        <f>+O20+O24</f>
        <v>137840</v>
      </c>
      <c r="P19" s="17">
        <f>+P20+P24</f>
        <v>748761</v>
      </c>
      <c r="Q19" s="18">
        <f>+K19/F19</f>
        <v>0.89017808269809895</v>
      </c>
    </row>
    <row r="20" spans="1:17" ht="12.75" customHeight="1">
      <c r="A20" s="41" t="s">
        <v>15</v>
      </c>
      <c r="B20" s="20">
        <f t="shared" ref="B20:K20" si="9">+B21+B22+B23</f>
        <v>5616128</v>
      </c>
      <c r="C20" s="20">
        <f t="shared" si="9"/>
        <v>989182</v>
      </c>
      <c r="D20" s="20">
        <f t="shared" si="9"/>
        <v>100</v>
      </c>
      <c r="E20" s="20">
        <f t="shared" si="9"/>
        <v>175534</v>
      </c>
      <c r="F20" s="20">
        <f t="shared" si="9"/>
        <v>6780944</v>
      </c>
      <c r="G20" s="20">
        <f t="shared" si="9"/>
        <v>5610523</v>
      </c>
      <c r="H20" s="20">
        <f t="shared" si="9"/>
        <v>387409</v>
      </c>
      <c r="I20" s="20">
        <f t="shared" si="9"/>
        <v>24</v>
      </c>
      <c r="J20" s="20">
        <f t="shared" si="9"/>
        <v>38371</v>
      </c>
      <c r="K20" s="20">
        <f t="shared" si="9"/>
        <v>6036327</v>
      </c>
      <c r="L20" s="20">
        <f t="shared" ref="L20:P20" si="10">+L21+L22+L23</f>
        <v>5605</v>
      </c>
      <c r="M20" s="20">
        <f t="shared" si="10"/>
        <v>601773</v>
      </c>
      <c r="N20" s="20">
        <f t="shared" si="10"/>
        <v>76</v>
      </c>
      <c r="O20" s="20">
        <f t="shared" si="10"/>
        <v>137163</v>
      </c>
      <c r="P20" s="21">
        <f t="shared" si="10"/>
        <v>744617</v>
      </c>
      <c r="Q20" s="18"/>
    </row>
    <row r="21" spans="1:17" ht="12.75" customHeight="1">
      <c r="A21" s="22" t="s">
        <v>16</v>
      </c>
      <c r="B21" s="29">
        <v>929582</v>
      </c>
      <c r="C21" s="29">
        <v>493931</v>
      </c>
      <c r="D21" s="29">
        <v>100</v>
      </c>
      <c r="E21" s="30">
        <v>51884</v>
      </c>
      <c r="F21" s="24">
        <f>SUM(B21:E21)</f>
        <v>1475497</v>
      </c>
      <c r="G21" s="29">
        <f>414900+511737</f>
        <v>926637</v>
      </c>
      <c r="H21" s="29">
        <v>380458</v>
      </c>
      <c r="I21" s="29">
        <v>24</v>
      </c>
      <c r="J21" s="29">
        <v>32971</v>
      </c>
      <c r="K21" s="24">
        <f>SUM(G21:J21)</f>
        <v>1340090</v>
      </c>
      <c r="L21" s="25">
        <f t="shared" ref="L21:N23" si="11">+B21-G21</f>
        <v>2945</v>
      </c>
      <c r="M21" s="25">
        <f t="shared" si="11"/>
        <v>113473</v>
      </c>
      <c r="N21" s="25">
        <f t="shared" si="11"/>
        <v>76</v>
      </c>
      <c r="O21" s="25">
        <f>+E21-J21</f>
        <v>18913</v>
      </c>
      <c r="P21" s="26">
        <f>SUM(L21:O21)</f>
        <v>135407</v>
      </c>
      <c r="Q21" s="18"/>
    </row>
    <row r="22" spans="1:17" ht="12.75" customHeight="1">
      <c r="A22" s="22" t="s">
        <v>17</v>
      </c>
      <c r="B22" s="29">
        <v>3422550</v>
      </c>
      <c r="C22" s="29">
        <v>481750</v>
      </c>
      <c r="D22" s="29"/>
      <c r="E22" s="30">
        <v>118250</v>
      </c>
      <c r="F22" s="24">
        <f>SUM(B22:E22)</f>
        <v>4022550</v>
      </c>
      <c r="G22" s="29">
        <f>60110+447486+2913263</f>
        <v>3420859</v>
      </c>
      <c r="H22" s="29"/>
      <c r="I22" s="29"/>
      <c r="J22" s="29"/>
      <c r="K22" s="24">
        <f>SUM(G22:J22)</f>
        <v>3420859</v>
      </c>
      <c r="L22" s="25">
        <f t="shared" si="11"/>
        <v>1691</v>
      </c>
      <c r="M22" s="25">
        <f t="shared" si="11"/>
        <v>481750</v>
      </c>
      <c r="N22" s="25"/>
      <c r="O22" s="25">
        <f>+E22-J22</f>
        <v>118250</v>
      </c>
      <c r="P22" s="26">
        <f>SUM(L22:O22)</f>
        <v>601691</v>
      </c>
      <c r="Q22" s="18"/>
    </row>
    <row r="23" spans="1:17" ht="12.75" customHeight="1">
      <c r="A23" s="22" t="s">
        <v>18</v>
      </c>
      <c r="B23" s="29">
        <v>1263996</v>
      </c>
      <c r="C23" s="29">
        <v>13501</v>
      </c>
      <c r="D23" s="29"/>
      <c r="E23" s="30">
        <v>5400</v>
      </c>
      <c r="F23" s="24">
        <f>SUM(B23:E23)</f>
        <v>1282897</v>
      </c>
      <c r="G23" s="29">
        <f>37146+1225881</f>
        <v>1263027</v>
      </c>
      <c r="H23" s="29">
        <f>2384+4567</f>
        <v>6951</v>
      </c>
      <c r="I23" s="29"/>
      <c r="J23" s="29">
        <v>5400</v>
      </c>
      <c r="K23" s="24">
        <f>SUM(G23:J23)</f>
        <v>1275378</v>
      </c>
      <c r="L23" s="25">
        <f t="shared" si="11"/>
        <v>969</v>
      </c>
      <c r="M23" s="25">
        <f t="shared" si="11"/>
        <v>6550</v>
      </c>
      <c r="N23" s="25"/>
      <c r="O23" s="25">
        <f>+E23-J23</f>
        <v>0</v>
      </c>
      <c r="P23" s="26">
        <f>SUM(L23:O23)</f>
        <v>7519</v>
      </c>
      <c r="Q23" s="18"/>
    </row>
    <row r="24" spans="1:17" ht="12.75" customHeight="1">
      <c r="A24" s="22" t="s">
        <v>19</v>
      </c>
      <c r="B24" s="27">
        <f t="shared" ref="B24:K24" si="12">+B25+B26</f>
        <v>0</v>
      </c>
      <c r="C24" s="27">
        <f t="shared" si="12"/>
        <v>35042</v>
      </c>
      <c r="D24" s="27">
        <f t="shared" si="12"/>
        <v>0</v>
      </c>
      <c r="E24" s="27">
        <f t="shared" si="12"/>
        <v>1970</v>
      </c>
      <c r="F24" s="27">
        <f t="shared" si="12"/>
        <v>37012</v>
      </c>
      <c r="G24" s="27">
        <f t="shared" si="12"/>
        <v>0</v>
      </c>
      <c r="H24" s="27">
        <f t="shared" si="12"/>
        <v>31575</v>
      </c>
      <c r="I24" s="27">
        <f t="shared" si="12"/>
        <v>0</v>
      </c>
      <c r="J24" s="27">
        <f t="shared" si="12"/>
        <v>1293</v>
      </c>
      <c r="K24" s="27">
        <f t="shared" si="12"/>
        <v>32868</v>
      </c>
      <c r="L24" s="27">
        <f>+L25+L26</f>
        <v>0</v>
      </c>
      <c r="M24" s="27">
        <f>+M25+M26</f>
        <v>3467</v>
      </c>
      <c r="N24" s="27"/>
      <c r="O24" s="27">
        <f>+O25+O26</f>
        <v>677</v>
      </c>
      <c r="P24" s="28">
        <f>+P25+P26</f>
        <v>4144</v>
      </c>
      <c r="Q24" s="18"/>
    </row>
    <row r="25" spans="1:17" ht="12.75" customHeight="1">
      <c r="A25" s="23" t="s">
        <v>20</v>
      </c>
      <c r="B25" s="29"/>
      <c r="C25" s="29">
        <v>35042</v>
      </c>
      <c r="D25" s="29"/>
      <c r="E25" s="30">
        <v>1970</v>
      </c>
      <c r="F25" s="24">
        <f>SUM(B25:E25)</f>
        <v>37012</v>
      </c>
      <c r="G25" s="29"/>
      <c r="H25" s="29">
        <v>31575</v>
      </c>
      <c r="I25" s="29"/>
      <c r="J25" s="29">
        <v>1293</v>
      </c>
      <c r="K25" s="24">
        <f>SUM(G25:J25)</f>
        <v>32868</v>
      </c>
      <c r="L25" s="25">
        <f>+B25-G25</f>
        <v>0</v>
      </c>
      <c r="M25" s="25">
        <f>+C25-H25</f>
        <v>3467</v>
      </c>
      <c r="N25" s="25"/>
      <c r="O25" s="25">
        <f>+E25-J25</f>
        <v>677</v>
      </c>
      <c r="P25" s="26">
        <f>SUM(L25:O25)</f>
        <v>4144</v>
      </c>
      <c r="Q25" s="18"/>
    </row>
    <row r="26" spans="1:17" ht="12.75" customHeight="1">
      <c r="A26" s="23" t="s">
        <v>21</v>
      </c>
      <c r="B26" s="29"/>
      <c r="C26" s="29"/>
      <c r="D26" s="29"/>
      <c r="E26" s="30"/>
      <c r="F26" s="24">
        <f>SUM(B26:E26)</f>
        <v>0</v>
      </c>
      <c r="G26" s="29"/>
      <c r="H26" s="29"/>
      <c r="I26" s="29"/>
      <c r="J26" s="29"/>
      <c r="K26" s="24">
        <f>SUM(G26:J26)</f>
        <v>0</v>
      </c>
      <c r="L26" s="25">
        <f>+B26-G26</f>
        <v>0</v>
      </c>
      <c r="M26" s="25">
        <f>+C26-H26</f>
        <v>0</v>
      </c>
      <c r="N26" s="25"/>
      <c r="O26" s="25">
        <f>+E26-J26</f>
        <v>0</v>
      </c>
      <c r="P26" s="26">
        <f>SUM(L26:O26)</f>
        <v>0</v>
      </c>
      <c r="Q26" s="18"/>
    </row>
    <row r="27" spans="1:17" ht="12.75" customHeight="1">
      <c r="A27" s="33"/>
      <c r="B27" s="25"/>
      <c r="C27" s="25"/>
      <c r="D27" s="25"/>
      <c r="E27" s="43"/>
      <c r="F27" s="24"/>
      <c r="G27" s="47"/>
      <c r="H27" s="47"/>
      <c r="I27" s="47"/>
      <c r="J27" s="47"/>
      <c r="K27" s="32"/>
      <c r="L27" s="25"/>
      <c r="M27" s="25"/>
      <c r="N27" s="25"/>
      <c r="O27" s="25"/>
      <c r="P27" s="26"/>
      <c r="Q27" s="18"/>
    </row>
    <row r="28" spans="1:17" ht="12.75" customHeight="1">
      <c r="A28" s="215" t="s">
        <v>43</v>
      </c>
      <c r="B28" s="17">
        <f t="shared" ref="B28:K28" si="13">+B29+B33</f>
        <v>19447</v>
      </c>
      <c r="C28" s="17">
        <f t="shared" si="13"/>
        <v>30070</v>
      </c>
      <c r="D28" s="17">
        <f t="shared" si="13"/>
        <v>0</v>
      </c>
      <c r="E28" s="17">
        <f t="shared" si="13"/>
        <v>2248</v>
      </c>
      <c r="F28" s="17">
        <f t="shared" si="13"/>
        <v>51765</v>
      </c>
      <c r="G28" s="17">
        <f t="shared" si="13"/>
        <v>19394</v>
      </c>
      <c r="H28" s="17">
        <f t="shared" si="13"/>
        <v>10607</v>
      </c>
      <c r="I28" s="17">
        <f t="shared" si="13"/>
        <v>0</v>
      </c>
      <c r="J28" s="17">
        <f t="shared" si="13"/>
        <v>1265</v>
      </c>
      <c r="K28" s="17">
        <f t="shared" si="13"/>
        <v>31266</v>
      </c>
      <c r="L28" s="17">
        <f>+L29+L33</f>
        <v>53</v>
      </c>
      <c r="M28" s="17">
        <f>+M29+M33</f>
        <v>19463</v>
      </c>
      <c r="N28" s="17"/>
      <c r="O28" s="17">
        <f>+O29+O33</f>
        <v>983</v>
      </c>
      <c r="P28" s="17">
        <f>+P29+P33</f>
        <v>20499</v>
      </c>
      <c r="Q28" s="18">
        <f>+K28/F28</f>
        <v>0.60399884091567657</v>
      </c>
    </row>
    <row r="29" spans="1:17" ht="12.75" customHeight="1">
      <c r="A29" s="41" t="s">
        <v>15</v>
      </c>
      <c r="B29" s="20">
        <f t="shared" ref="B29:K29" si="14">+B30+B31+B32</f>
        <v>19447</v>
      </c>
      <c r="C29" s="20">
        <f t="shared" si="14"/>
        <v>20552</v>
      </c>
      <c r="D29" s="20">
        <f t="shared" si="14"/>
        <v>0</v>
      </c>
      <c r="E29" s="20">
        <f t="shared" si="14"/>
        <v>2012</v>
      </c>
      <c r="F29" s="20">
        <f t="shared" si="14"/>
        <v>42011</v>
      </c>
      <c r="G29" s="20">
        <f t="shared" si="14"/>
        <v>19394</v>
      </c>
      <c r="H29" s="20">
        <f t="shared" si="14"/>
        <v>7263</v>
      </c>
      <c r="I29" s="20">
        <f t="shared" si="14"/>
        <v>0</v>
      </c>
      <c r="J29" s="20">
        <f t="shared" si="14"/>
        <v>1029</v>
      </c>
      <c r="K29" s="20">
        <f t="shared" si="14"/>
        <v>27686</v>
      </c>
      <c r="L29" s="20">
        <f>+L30+L31+L32</f>
        <v>53</v>
      </c>
      <c r="M29" s="20">
        <f>+M30+M31+M32</f>
        <v>13289</v>
      </c>
      <c r="N29" s="20"/>
      <c r="O29" s="20">
        <f>+O30+O31+O32</f>
        <v>983</v>
      </c>
      <c r="P29" s="21">
        <f>+P30+P31+P32</f>
        <v>14325</v>
      </c>
      <c r="Q29" s="18"/>
    </row>
    <row r="30" spans="1:17" ht="12.75" customHeight="1">
      <c r="A30" s="22" t="s">
        <v>16</v>
      </c>
      <c r="B30" s="29">
        <v>16516</v>
      </c>
      <c r="C30" s="29">
        <v>15699</v>
      </c>
      <c r="D30" s="29"/>
      <c r="E30" s="30">
        <v>1519</v>
      </c>
      <c r="F30" s="24">
        <f>SUM(B30:E30)</f>
        <v>33734</v>
      </c>
      <c r="G30" s="29">
        <v>16516</v>
      </c>
      <c r="H30" s="29">
        <v>7263</v>
      </c>
      <c r="I30" s="29"/>
      <c r="J30" s="29">
        <v>1029</v>
      </c>
      <c r="K30" s="24">
        <f>SUM(G30:J30)</f>
        <v>24808</v>
      </c>
      <c r="L30" s="25">
        <f t="shared" ref="L30:M32" si="15">+B30-G30</f>
        <v>0</v>
      </c>
      <c r="M30" s="25">
        <f t="shared" si="15"/>
        <v>8436</v>
      </c>
      <c r="N30" s="25"/>
      <c r="O30" s="25">
        <f>+E30-J30</f>
        <v>490</v>
      </c>
      <c r="P30" s="26">
        <f>SUM(L30:O30)</f>
        <v>8926</v>
      </c>
      <c r="Q30" s="18"/>
    </row>
    <row r="31" spans="1:17" ht="12.75" customHeight="1">
      <c r="A31" s="22" t="s">
        <v>17</v>
      </c>
      <c r="B31" s="29">
        <v>1380</v>
      </c>
      <c r="C31" s="34"/>
      <c r="D31" s="34"/>
      <c r="E31" s="30"/>
      <c r="F31" s="24">
        <f>SUM(B31:E31)</f>
        <v>1380</v>
      </c>
      <c r="G31" s="29">
        <v>1344</v>
      </c>
      <c r="H31" s="34"/>
      <c r="I31" s="34"/>
      <c r="J31" s="34"/>
      <c r="K31" s="24">
        <f>SUM(G31:J31)</f>
        <v>1344</v>
      </c>
      <c r="L31" s="25">
        <f t="shared" si="15"/>
        <v>36</v>
      </c>
      <c r="M31" s="25">
        <f t="shared" si="15"/>
        <v>0</v>
      </c>
      <c r="N31" s="25"/>
      <c r="O31" s="25">
        <f>+E31-J31</f>
        <v>0</v>
      </c>
      <c r="P31" s="26">
        <f>SUM(L31:O31)</f>
        <v>36</v>
      </c>
      <c r="Q31" s="18"/>
    </row>
    <row r="32" spans="1:17" ht="12.75" customHeight="1">
      <c r="A32" s="22" t="s">
        <v>18</v>
      </c>
      <c r="B32" s="29">
        <v>1551</v>
      </c>
      <c r="C32" s="29">
        <v>4853</v>
      </c>
      <c r="D32" s="29"/>
      <c r="E32" s="30">
        <v>493</v>
      </c>
      <c r="F32" s="24">
        <f>SUM(B32:E32)</f>
        <v>6897</v>
      </c>
      <c r="G32" s="29">
        <v>1534</v>
      </c>
      <c r="H32" s="34"/>
      <c r="I32" s="34"/>
      <c r="J32" s="34"/>
      <c r="K32" s="24">
        <f>SUM(G32:J32)</f>
        <v>1534</v>
      </c>
      <c r="L32" s="25">
        <f t="shared" si="15"/>
        <v>17</v>
      </c>
      <c r="M32" s="25">
        <f t="shared" si="15"/>
        <v>4853</v>
      </c>
      <c r="N32" s="25"/>
      <c r="O32" s="25">
        <f>+E32-J32</f>
        <v>493</v>
      </c>
      <c r="P32" s="26">
        <f>SUM(L32:O32)</f>
        <v>5363</v>
      </c>
      <c r="Q32" s="18"/>
    </row>
    <row r="33" spans="1:17" ht="12.75" customHeight="1">
      <c r="A33" s="22" t="s">
        <v>19</v>
      </c>
      <c r="B33" s="27">
        <f t="shared" ref="B33:K33" si="16">+B34+B35</f>
        <v>0</v>
      </c>
      <c r="C33" s="27">
        <f t="shared" si="16"/>
        <v>9518</v>
      </c>
      <c r="D33" s="27">
        <f t="shared" si="16"/>
        <v>0</v>
      </c>
      <c r="E33" s="27">
        <f t="shared" si="16"/>
        <v>236</v>
      </c>
      <c r="F33" s="27">
        <f t="shared" si="16"/>
        <v>9754</v>
      </c>
      <c r="G33" s="27">
        <f t="shared" si="16"/>
        <v>0</v>
      </c>
      <c r="H33" s="27">
        <f t="shared" si="16"/>
        <v>3344</v>
      </c>
      <c r="I33" s="27">
        <f t="shared" si="16"/>
        <v>0</v>
      </c>
      <c r="J33" s="27">
        <f t="shared" si="16"/>
        <v>236</v>
      </c>
      <c r="K33" s="27">
        <f t="shared" si="16"/>
        <v>3580</v>
      </c>
      <c r="L33" s="27">
        <f t="shared" ref="L33:P33" si="17">+L34+L35</f>
        <v>0</v>
      </c>
      <c r="M33" s="27">
        <f t="shared" si="17"/>
        <v>6174</v>
      </c>
      <c r="N33" s="27"/>
      <c r="O33" s="27">
        <f t="shared" si="17"/>
        <v>0</v>
      </c>
      <c r="P33" s="28">
        <f t="shared" si="17"/>
        <v>6174</v>
      </c>
      <c r="Q33" s="18"/>
    </row>
    <row r="34" spans="1:17" ht="12.75" customHeight="1">
      <c r="A34" s="23" t="s">
        <v>20</v>
      </c>
      <c r="B34" s="29"/>
      <c r="C34" s="29">
        <f>9651-133</f>
        <v>9518</v>
      </c>
      <c r="D34" s="29"/>
      <c r="E34" s="30">
        <f>103+133</f>
        <v>236</v>
      </c>
      <c r="F34" s="24">
        <f>SUM(B34:E34)</f>
        <v>9754</v>
      </c>
      <c r="G34" s="29"/>
      <c r="H34" s="29">
        <f>260+3084</f>
        <v>3344</v>
      </c>
      <c r="I34" s="29"/>
      <c r="J34" s="29">
        <f>3320-3084</f>
        <v>236</v>
      </c>
      <c r="K34" s="24">
        <f>SUM(G34:J34)</f>
        <v>3580</v>
      </c>
      <c r="L34" s="25">
        <f>+B34-G34</f>
        <v>0</v>
      </c>
      <c r="M34" s="25">
        <f>+C34-H34</f>
        <v>6174</v>
      </c>
      <c r="N34" s="25"/>
      <c r="O34" s="25">
        <f>+E34-J34</f>
        <v>0</v>
      </c>
      <c r="P34" s="26">
        <f>SUM(L34:O34)</f>
        <v>6174</v>
      </c>
      <c r="Q34" s="18"/>
    </row>
    <row r="35" spans="1:17" ht="12.75" customHeight="1">
      <c r="A35" s="23" t="s">
        <v>21</v>
      </c>
      <c r="B35" s="29"/>
      <c r="C35" s="29"/>
      <c r="D35" s="29"/>
      <c r="E35" s="30"/>
      <c r="F35" s="24">
        <f>SUM(B35:E35)</f>
        <v>0</v>
      </c>
      <c r="G35" s="29"/>
      <c r="H35" s="29"/>
      <c r="I35" s="29"/>
      <c r="J35" s="29"/>
      <c r="K35" s="24">
        <f>SUM(G35:J35)</f>
        <v>0</v>
      </c>
      <c r="L35" s="25">
        <f>+B35-G35</f>
        <v>0</v>
      </c>
      <c r="M35" s="25">
        <f>+C35-H35</f>
        <v>0</v>
      </c>
      <c r="N35" s="25"/>
      <c r="O35" s="25">
        <f>+E35-J35</f>
        <v>0</v>
      </c>
      <c r="P35" s="26">
        <f>SUM(L35:O35)</f>
        <v>0</v>
      </c>
      <c r="Q35" s="18"/>
    </row>
    <row r="36" spans="1:17" ht="12.75" customHeight="1">
      <c r="A36" s="65"/>
      <c r="B36" s="44"/>
      <c r="C36" s="44"/>
      <c r="D36" s="44"/>
      <c r="E36" s="45"/>
      <c r="F36" s="77"/>
      <c r="G36" s="84"/>
      <c r="H36" s="84"/>
      <c r="I36" s="84"/>
      <c r="J36" s="84"/>
      <c r="K36" s="82"/>
      <c r="L36" s="44"/>
      <c r="M36" s="44"/>
      <c r="N36" s="44"/>
      <c r="O36" s="44"/>
      <c r="P36" s="75"/>
      <c r="Q36" s="76"/>
    </row>
    <row r="37" spans="1:17">
      <c r="A37" s="80"/>
    </row>
    <row r="38" spans="1:17">
      <c r="A38" s="80"/>
    </row>
    <row r="39" spans="1:17">
      <c r="A39" s="80"/>
    </row>
    <row r="40" spans="1:17">
      <c r="A40" s="80"/>
    </row>
    <row r="41" spans="1:17">
      <c r="A41" s="80"/>
    </row>
    <row r="42" spans="1:17">
      <c r="A42" s="80"/>
    </row>
    <row r="43" spans="1:17">
      <c r="A43" s="80"/>
    </row>
    <row r="44" spans="1:17">
      <c r="A44" s="80"/>
    </row>
    <row r="45" spans="1:17">
      <c r="A45" s="80"/>
    </row>
    <row r="46" spans="1:17">
      <c r="A46" s="80"/>
    </row>
    <row r="47" spans="1:17">
      <c r="A47" s="80"/>
    </row>
    <row r="48" spans="1:17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  <row r="61" spans="1:1">
      <c r="A61" s="80"/>
    </row>
    <row r="62" spans="1:1">
      <c r="A62" s="80"/>
    </row>
    <row r="63" spans="1:1">
      <c r="A63" s="80"/>
    </row>
    <row r="64" spans="1:1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  <row r="1084" spans="1:1">
      <c r="A1084" s="80"/>
    </row>
    <row r="1085" spans="1:1">
      <c r="A1085" s="80"/>
    </row>
    <row r="1086" spans="1:1">
      <c r="A1086" s="80"/>
    </row>
    <row r="1087" spans="1:1">
      <c r="A1087" s="80"/>
    </row>
    <row r="1088" spans="1:1">
      <c r="A1088" s="80"/>
    </row>
    <row r="1089" spans="1:1">
      <c r="A1089" s="80"/>
    </row>
    <row r="1090" spans="1:1">
      <c r="A1090" s="80"/>
    </row>
    <row r="1091" spans="1:1">
      <c r="A1091" s="80"/>
    </row>
    <row r="1092" spans="1:1">
      <c r="A1092" s="80"/>
    </row>
    <row r="1093" spans="1:1">
      <c r="A1093" s="80"/>
    </row>
    <row r="1094" spans="1:1">
      <c r="A1094" s="80"/>
    </row>
    <row r="1095" spans="1:1">
      <c r="A1095" s="80"/>
    </row>
    <row r="1096" spans="1:1">
      <c r="A1096" s="80"/>
    </row>
    <row r="1097" spans="1:1">
      <c r="A1097" s="80"/>
    </row>
    <row r="1098" spans="1:1">
      <c r="A1098" s="80"/>
    </row>
    <row r="1099" spans="1:1">
      <c r="A1099" s="80"/>
    </row>
    <row r="1100" spans="1:1">
      <c r="A1100" s="80"/>
    </row>
    <row r="1101" spans="1:1">
      <c r="A1101" s="80"/>
    </row>
    <row r="1102" spans="1:1">
      <c r="A1102" s="80"/>
    </row>
    <row r="1103" spans="1:1">
      <c r="A1103" s="80"/>
    </row>
    <row r="1104" spans="1:1">
      <c r="A1104" s="80"/>
    </row>
    <row r="1105" spans="1:1">
      <c r="A1105" s="80"/>
    </row>
    <row r="1106" spans="1:1">
      <c r="A1106" s="80"/>
    </row>
    <row r="1107" spans="1:1">
      <c r="A1107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2" fitToWidth="0" fitToHeight="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L1083"/>
  <sheetViews>
    <sheetView showRuler="0" zoomScaleSheetLayoutView="100" workbookViewId="0">
      <pane xSplit="1" ySplit="8" topLeftCell="B42" activePane="bottomRight" state="frozen"/>
      <selection activeCell="A1459" sqref="A1459"/>
      <selection pane="topRight" activeCell="A1459" sqref="A1459"/>
      <selection pane="bottomLeft" activeCell="A1459" sqref="A1459"/>
      <selection pane="bottomRight" activeCell="F63" sqref="F63"/>
    </sheetView>
  </sheetViews>
  <sheetFormatPr defaultRowHeight="12.75"/>
  <cols>
    <col min="1" max="1" width="34.285156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51" width="9.140625" style="5"/>
    <col min="52" max="52" width="11.140625" style="5" bestFit="1" customWidth="1"/>
    <col min="53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44</v>
      </c>
      <c r="B10" s="17">
        <f t="shared" ref="B10:P10" si="0">+B11+B16+B15</f>
        <v>250149761</v>
      </c>
      <c r="C10" s="17">
        <f t="shared" si="0"/>
        <v>41549341</v>
      </c>
      <c r="D10" s="17"/>
      <c r="E10" s="17">
        <f t="shared" si="0"/>
        <v>14650774</v>
      </c>
      <c r="F10" s="17">
        <f t="shared" si="0"/>
        <v>306349876</v>
      </c>
      <c r="G10" s="17">
        <f t="shared" si="0"/>
        <v>235513084.04299998</v>
      </c>
      <c r="H10" s="17">
        <f t="shared" si="0"/>
        <v>26034393.732000001</v>
      </c>
      <c r="I10" s="17"/>
      <c r="J10" s="17">
        <f t="shared" si="0"/>
        <v>4056334</v>
      </c>
      <c r="K10" s="17">
        <f t="shared" si="0"/>
        <v>265603811.77500001</v>
      </c>
      <c r="L10" s="17">
        <f t="shared" si="0"/>
        <v>14636676.957000002</v>
      </c>
      <c r="M10" s="17">
        <f t="shared" si="0"/>
        <v>15514947.268000001</v>
      </c>
      <c r="N10" s="17"/>
      <c r="O10" s="17">
        <f t="shared" si="0"/>
        <v>10594440</v>
      </c>
      <c r="P10" s="17">
        <f t="shared" si="0"/>
        <v>40746064.225000001</v>
      </c>
      <c r="Q10" s="18">
        <f>+K10/F10</f>
        <v>0.86699500336993773</v>
      </c>
    </row>
    <row r="11" spans="1:18" ht="12.75" customHeight="1">
      <c r="A11" s="41" t="s">
        <v>15</v>
      </c>
      <c r="B11" s="20">
        <f t="shared" ref="B11:P11" si="1">+B12+B13+B14</f>
        <v>250149761</v>
      </c>
      <c r="C11" s="20">
        <f t="shared" si="1"/>
        <v>35519129</v>
      </c>
      <c r="D11" s="20"/>
      <c r="E11" s="20">
        <f t="shared" si="1"/>
        <v>12275521</v>
      </c>
      <c r="F11" s="20">
        <f t="shared" si="1"/>
        <v>297944411</v>
      </c>
      <c r="G11" s="20">
        <f t="shared" si="1"/>
        <v>235513084.04299998</v>
      </c>
      <c r="H11" s="20">
        <f t="shared" si="1"/>
        <v>25645901.732000001</v>
      </c>
      <c r="I11" s="20"/>
      <c r="J11" s="20">
        <f t="shared" si="1"/>
        <v>3057994</v>
      </c>
      <c r="K11" s="20">
        <f t="shared" si="1"/>
        <v>264216979.77500001</v>
      </c>
      <c r="L11" s="20">
        <f t="shared" si="1"/>
        <v>14636676.957000002</v>
      </c>
      <c r="M11" s="20">
        <f t="shared" si="1"/>
        <v>9873227.2680000011</v>
      </c>
      <c r="N11" s="20"/>
      <c r="O11" s="20">
        <f t="shared" si="1"/>
        <v>9217527</v>
      </c>
      <c r="P11" s="21">
        <f t="shared" si="1"/>
        <v>33727431.225000001</v>
      </c>
      <c r="Q11" s="18"/>
    </row>
    <row r="12" spans="1:18" ht="12.75" customHeight="1">
      <c r="A12" s="22" t="s">
        <v>16</v>
      </c>
      <c r="B12" s="23">
        <f>+B22+B32+B41+B50+B59+B68</f>
        <v>194246256</v>
      </c>
      <c r="C12" s="23">
        <f t="shared" ref="C12:E12" si="2">+C22+C32+C41+C50+C59+C68</f>
        <v>34919404</v>
      </c>
      <c r="D12" s="23">
        <f t="shared" si="2"/>
        <v>0</v>
      </c>
      <c r="E12" s="23">
        <f t="shared" si="2"/>
        <v>11229290</v>
      </c>
      <c r="F12" s="24">
        <f>SUM(B12:E12)</f>
        <v>240394950</v>
      </c>
      <c r="G12" s="23">
        <f>+G22+G32+G41+G50+G59+G68</f>
        <v>186107486.66299999</v>
      </c>
      <c r="H12" s="23">
        <f t="shared" ref="H12:J12" si="3">+H22+H32+H41+H50+H59+H68</f>
        <v>25237960.337000001</v>
      </c>
      <c r="I12" s="23">
        <f t="shared" si="3"/>
        <v>0</v>
      </c>
      <c r="J12" s="23">
        <f t="shared" si="3"/>
        <v>2952557</v>
      </c>
      <c r="K12" s="24">
        <f>SUM(G12:J12)</f>
        <v>214298004</v>
      </c>
      <c r="L12" s="23">
        <f>+L22+L32+L41+L50+L59+L68</f>
        <v>8138769.3370000003</v>
      </c>
      <c r="M12" s="23">
        <f t="shared" ref="M12:O12" si="4">+M22+M32+M41+M50+M59+M68</f>
        <v>9681443.6630000006</v>
      </c>
      <c r="N12" s="23">
        <f t="shared" si="4"/>
        <v>0</v>
      </c>
      <c r="O12" s="23">
        <f t="shared" si="4"/>
        <v>8276733</v>
      </c>
      <c r="P12" s="26">
        <f>SUM(L12:O12)</f>
        <v>26096946</v>
      </c>
      <c r="Q12" s="18"/>
    </row>
    <row r="13" spans="1:18" ht="12.75" customHeight="1">
      <c r="A13" s="22" t="s">
        <v>17</v>
      </c>
      <c r="B13" s="23">
        <f t="shared" ref="B13:E14" si="5">+B23+B33+B42+B51+B60+B69</f>
        <v>35397122</v>
      </c>
      <c r="C13" s="23">
        <f t="shared" si="5"/>
        <v>0</v>
      </c>
      <c r="D13" s="23">
        <f t="shared" si="5"/>
        <v>0</v>
      </c>
      <c r="E13" s="23">
        <f t="shared" si="5"/>
        <v>1040001</v>
      </c>
      <c r="F13" s="24">
        <f>SUM(B13:E13)</f>
        <v>36437123</v>
      </c>
      <c r="G13" s="23">
        <f t="shared" ref="G13:J14" si="6">+G23+G33+G42+G51+G60+G69</f>
        <v>30259222</v>
      </c>
      <c r="H13" s="23">
        <f t="shared" si="6"/>
        <v>0</v>
      </c>
      <c r="I13" s="23">
        <f t="shared" si="6"/>
        <v>0</v>
      </c>
      <c r="J13" s="23">
        <f t="shared" si="6"/>
        <v>105287</v>
      </c>
      <c r="K13" s="24">
        <f>SUM(G13:J13)</f>
        <v>30364509</v>
      </c>
      <c r="L13" s="23">
        <f t="shared" ref="L13:O14" si="7">+L23+L33+L42+L51+L60+L69</f>
        <v>5137900</v>
      </c>
      <c r="M13" s="23">
        <f t="shared" si="7"/>
        <v>0</v>
      </c>
      <c r="N13" s="23">
        <f t="shared" si="7"/>
        <v>0</v>
      </c>
      <c r="O13" s="23">
        <f t="shared" si="7"/>
        <v>934714</v>
      </c>
      <c r="P13" s="26">
        <f>SUM(L13:O13)</f>
        <v>6072614</v>
      </c>
      <c r="Q13" s="18"/>
    </row>
    <row r="14" spans="1:18" ht="12.75" customHeight="1">
      <c r="A14" s="22" t="s">
        <v>18</v>
      </c>
      <c r="B14" s="23">
        <f t="shared" si="5"/>
        <v>20506383</v>
      </c>
      <c r="C14" s="23">
        <f t="shared" si="5"/>
        <v>599725</v>
      </c>
      <c r="D14" s="23">
        <f t="shared" si="5"/>
        <v>0</v>
      </c>
      <c r="E14" s="23">
        <f t="shared" si="5"/>
        <v>6230</v>
      </c>
      <c r="F14" s="24">
        <f>SUM(B14:E14)</f>
        <v>21112338</v>
      </c>
      <c r="G14" s="23">
        <f t="shared" si="6"/>
        <v>19146375.379999999</v>
      </c>
      <c r="H14" s="23">
        <f t="shared" si="6"/>
        <v>407941.39500000002</v>
      </c>
      <c r="I14" s="23">
        <f t="shared" si="6"/>
        <v>0</v>
      </c>
      <c r="J14" s="23">
        <f t="shared" si="6"/>
        <v>150</v>
      </c>
      <c r="K14" s="24">
        <f>SUM(G14:J14)</f>
        <v>19554466.774999999</v>
      </c>
      <c r="L14" s="23">
        <f t="shared" si="7"/>
        <v>1360007.62</v>
      </c>
      <c r="M14" s="23">
        <f t="shared" si="7"/>
        <v>191783.60499999998</v>
      </c>
      <c r="N14" s="23">
        <f t="shared" si="7"/>
        <v>0</v>
      </c>
      <c r="O14" s="23">
        <f t="shared" si="7"/>
        <v>6080</v>
      </c>
      <c r="P14" s="26">
        <f>SUM(L14:O14)</f>
        <v>1557871.2250000001</v>
      </c>
      <c r="Q14" s="18"/>
    </row>
    <row r="15" spans="1:18" ht="12.75" customHeight="1">
      <c r="A15" s="22" t="s">
        <v>30</v>
      </c>
      <c r="B15" s="23">
        <f>+B25</f>
        <v>0</v>
      </c>
      <c r="C15" s="23">
        <f t="shared" ref="C15:E15" si="8">+C25</f>
        <v>0</v>
      </c>
      <c r="D15" s="23">
        <f t="shared" si="8"/>
        <v>0</v>
      </c>
      <c r="E15" s="23">
        <f t="shared" si="8"/>
        <v>348050</v>
      </c>
      <c r="F15" s="24">
        <f>SUM(B15:E15)</f>
        <v>348050</v>
      </c>
      <c r="G15" s="23">
        <f>+G25</f>
        <v>0</v>
      </c>
      <c r="H15" s="23">
        <f t="shared" ref="H15:J15" si="9">+H25</f>
        <v>0</v>
      </c>
      <c r="I15" s="23">
        <f t="shared" si="9"/>
        <v>0</v>
      </c>
      <c r="J15" s="23">
        <f t="shared" si="9"/>
        <v>0</v>
      </c>
      <c r="K15" s="24">
        <f>SUM(G15:J15)</f>
        <v>0</v>
      </c>
      <c r="L15" s="23">
        <f>+L25</f>
        <v>0</v>
      </c>
      <c r="M15" s="23">
        <f t="shared" ref="M15:O15" si="10">+M25</f>
        <v>0</v>
      </c>
      <c r="N15" s="23">
        <f t="shared" si="10"/>
        <v>0</v>
      </c>
      <c r="O15" s="23">
        <f t="shared" si="10"/>
        <v>348050</v>
      </c>
      <c r="P15" s="26">
        <f>SUM(L15:O15)</f>
        <v>348050</v>
      </c>
      <c r="Q15" s="18"/>
    </row>
    <row r="16" spans="1:18" ht="12.75" customHeight="1">
      <c r="A16" s="22" t="s">
        <v>19</v>
      </c>
      <c r="B16" s="44">
        <f t="shared" ref="B16:P16" si="11">+B17+B18</f>
        <v>0</v>
      </c>
      <c r="C16" s="44">
        <f t="shared" si="11"/>
        <v>6030212</v>
      </c>
      <c r="D16" s="44"/>
      <c r="E16" s="45">
        <f t="shared" si="11"/>
        <v>2027203</v>
      </c>
      <c r="F16" s="44">
        <f t="shared" si="11"/>
        <v>8057415</v>
      </c>
      <c r="G16" s="44">
        <f t="shared" si="11"/>
        <v>0</v>
      </c>
      <c r="H16" s="44">
        <f t="shared" si="11"/>
        <v>388492</v>
      </c>
      <c r="I16" s="44"/>
      <c r="J16" s="45">
        <f t="shared" si="11"/>
        <v>998340</v>
      </c>
      <c r="K16" s="44">
        <f t="shared" si="11"/>
        <v>1386832</v>
      </c>
      <c r="L16" s="44">
        <f t="shared" si="11"/>
        <v>0</v>
      </c>
      <c r="M16" s="44">
        <f t="shared" si="11"/>
        <v>5641720</v>
      </c>
      <c r="N16" s="44"/>
      <c r="O16" s="44">
        <f t="shared" si="11"/>
        <v>1028863</v>
      </c>
      <c r="P16" s="45">
        <f t="shared" si="11"/>
        <v>6670583</v>
      </c>
      <c r="Q16" s="18"/>
    </row>
    <row r="17" spans="1:64" ht="12.75" customHeight="1">
      <c r="A17" s="23" t="s">
        <v>20</v>
      </c>
      <c r="B17" s="23">
        <f>+B27+B36+B45+B54+B63+B72</f>
        <v>0</v>
      </c>
      <c r="C17" s="23">
        <f t="shared" ref="C17:E18" si="12">+C27+C36+C45+C54+C63+C72</f>
        <v>6030212</v>
      </c>
      <c r="D17" s="23">
        <f t="shared" si="12"/>
        <v>0</v>
      </c>
      <c r="E17" s="23">
        <f t="shared" si="12"/>
        <v>2027203</v>
      </c>
      <c r="F17" s="24">
        <f>SUM(B17:E17)</f>
        <v>8057415</v>
      </c>
      <c r="G17" s="23">
        <f>+G27+G36+G45+G54+G63+G72</f>
        <v>0</v>
      </c>
      <c r="H17" s="23">
        <f t="shared" ref="H17:J18" si="13">+H27+H36+H45+H54+H63+H72</f>
        <v>388492</v>
      </c>
      <c r="I17" s="23">
        <f t="shared" si="13"/>
        <v>0</v>
      </c>
      <c r="J17" s="23">
        <f t="shared" si="13"/>
        <v>998340</v>
      </c>
      <c r="K17" s="24">
        <f>SUM(G17:J17)</f>
        <v>1386832</v>
      </c>
      <c r="L17" s="23">
        <f>+L27+L36+L45+L54+L63+L72</f>
        <v>0</v>
      </c>
      <c r="M17" s="23">
        <f t="shared" ref="M17:O18" si="14">+M27+M36+M45+M54+M63+M72</f>
        <v>5641720</v>
      </c>
      <c r="N17" s="23">
        <f t="shared" si="14"/>
        <v>0</v>
      </c>
      <c r="O17" s="23">
        <f t="shared" si="14"/>
        <v>1028863</v>
      </c>
      <c r="P17" s="26">
        <f>SUM(L17:O17)</f>
        <v>6670583</v>
      </c>
      <c r="Q17" s="18"/>
    </row>
    <row r="18" spans="1:64" ht="12.75" customHeight="1">
      <c r="A18" s="23" t="s">
        <v>21</v>
      </c>
      <c r="B18" s="23">
        <f>+B28+B37+B46+B55+B64+B73</f>
        <v>0</v>
      </c>
      <c r="C18" s="23">
        <f t="shared" si="12"/>
        <v>0</v>
      </c>
      <c r="D18" s="23">
        <f t="shared" si="12"/>
        <v>0</v>
      </c>
      <c r="E18" s="23">
        <f t="shared" si="12"/>
        <v>0</v>
      </c>
      <c r="F18" s="24">
        <f>SUM(B18:E18)</f>
        <v>0</v>
      </c>
      <c r="G18" s="23">
        <f>+G28+G37+G46+G55+G64+G73</f>
        <v>0</v>
      </c>
      <c r="H18" s="23">
        <f t="shared" si="13"/>
        <v>0</v>
      </c>
      <c r="I18" s="23">
        <f t="shared" si="13"/>
        <v>0</v>
      </c>
      <c r="J18" s="23">
        <f t="shared" si="13"/>
        <v>0</v>
      </c>
      <c r="K18" s="24">
        <f>SUM(G18:J18)</f>
        <v>0</v>
      </c>
      <c r="L18" s="23">
        <f>+L28+L37+L46+L55+L64+L73</f>
        <v>0</v>
      </c>
      <c r="M18" s="23">
        <f t="shared" si="14"/>
        <v>0</v>
      </c>
      <c r="N18" s="23">
        <f t="shared" si="14"/>
        <v>0</v>
      </c>
      <c r="O18" s="23">
        <f t="shared" si="14"/>
        <v>0</v>
      </c>
      <c r="P18" s="26">
        <f>SUM(L18:O18)</f>
        <v>0</v>
      </c>
      <c r="Q18" s="1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64" ht="12.75" customHeight="1">
      <c r="A19" s="22"/>
      <c r="B19" s="25"/>
      <c r="C19" s="25"/>
      <c r="D19" s="25"/>
      <c r="E19" s="43"/>
      <c r="F19" s="24"/>
      <c r="G19" s="25"/>
      <c r="H19" s="25"/>
      <c r="I19" s="25"/>
      <c r="J19" s="25"/>
      <c r="K19" s="24"/>
      <c r="L19" s="25"/>
      <c r="M19" s="25"/>
      <c r="N19" s="25"/>
      <c r="O19" s="25"/>
      <c r="P19" s="26"/>
      <c r="Q19" s="1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 ht="12.75" customHeight="1">
      <c r="A20" s="33" t="s">
        <v>31</v>
      </c>
      <c r="B20" s="17">
        <f t="shared" ref="B20:K20" si="15">+B21+B26+B25</f>
        <v>250002519</v>
      </c>
      <c r="C20" s="17">
        <f t="shared" si="15"/>
        <v>40861768</v>
      </c>
      <c r="D20" s="17">
        <f t="shared" si="15"/>
        <v>0</v>
      </c>
      <c r="E20" s="17">
        <f t="shared" si="15"/>
        <v>13938608</v>
      </c>
      <c r="F20" s="17">
        <f t="shared" si="15"/>
        <v>304802895</v>
      </c>
      <c r="G20" s="17">
        <f t="shared" si="15"/>
        <v>235375853</v>
      </c>
      <c r="H20" s="17">
        <f t="shared" si="15"/>
        <v>25489854</v>
      </c>
      <c r="I20" s="17">
        <f t="shared" si="15"/>
        <v>0</v>
      </c>
      <c r="J20" s="17">
        <f t="shared" si="15"/>
        <v>3590880</v>
      </c>
      <c r="K20" s="17">
        <f t="shared" si="15"/>
        <v>264456587</v>
      </c>
      <c r="L20" s="17">
        <f t="shared" ref="L20:P20" si="16">+L21+L26+L25</f>
        <v>14626666</v>
      </c>
      <c r="M20" s="17">
        <f t="shared" si="16"/>
        <v>15371914</v>
      </c>
      <c r="N20" s="17"/>
      <c r="O20" s="17">
        <f t="shared" si="16"/>
        <v>10347728</v>
      </c>
      <c r="P20" s="17">
        <f t="shared" si="16"/>
        <v>40346308</v>
      </c>
      <c r="Q20" s="18">
        <f>+K20/F20</f>
        <v>0.86763148033748172</v>
      </c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64" ht="12.75" customHeight="1">
      <c r="A21" s="41" t="s">
        <v>15</v>
      </c>
      <c r="B21" s="20">
        <f t="shared" ref="B21:K21" si="17">+B22+B23+B24</f>
        <v>250002519</v>
      </c>
      <c r="C21" s="20">
        <f t="shared" si="17"/>
        <v>34847418</v>
      </c>
      <c r="D21" s="20">
        <f t="shared" si="17"/>
        <v>0</v>
      </c>
      <c r="E21" s="20">
        <f t="shared" si="17"/>
        <v>11564006</v>
      </c>
      <c r="F21" s="20">
        <f t="shared" si="17"/>
        <v>296413943</v>
      </c>
      <c r="G21" s="20">
        <f t="shared" si="17"/>
        <v>235375853</v>
      </c>
      <c r="H21" s="20">
        <f t="shared" si="17"/>
        <v>25101362</v>
      </c>
      <c r="I21" s="20">
        <f t="shared" si="17"/>
        <v>0</v>
      </c>
      <c r="J21" s="20">
        <f t="shared" si="17"/>
        <v>2592540</v>
      </c>
      <c r="K21" s="20">
        <f t="shared" si="17"/>
        <v>263069755</v>
      </c>
      <c r="L21" s="20">
        <f>+L22+L23+L24</f>
        <v>14626666</v>
      </c>
      <c r="M21" s="20">
        <f>+M22+M23+M24</f>
        <v>9746056</v>
      </c>
      <c r="N21" s="20"/>
      <c r="O21" s="20">
        <f>+O22+O23+O24</f>
        <v>8971466</v>
      </c>
      <c r="P21" s="21">
        <f>+P22+P23+P24</f>
        <v>33344188</v>
      </c>
      <c r="Q21" s="18"/>
      <c r="R21" s="49" t="s">
        <v>45</v>
      </c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64" ht="12.75" customHeight="1">
      <c r="A22" s="22" t="s">
        <v>16</v>
      </c>
      <c r="B22" s="29">
        <v>194129052</v>
      </c>
      <c r="C22" s="29">
        <v>34698096</v>
      </c>
      <c r="D22" s="29"/>
      <c r="E22" s="30">
        <v>10517775</v>
      </c>
      <c r="F22" s="24">
        <f>SUM(B22:E22)</f>
        <v>239344923</v>
      </c>
      <c r="G22" s="29">
        <v>185995574</v>
      </c>
      <c r="H22" s="29">
        <f>25070044+2264+209</f>
        <v>25072517</v>
      </c>
      <c r="I22" s="29">
        <f>209-209</f>
        <v>0</v>
      </c>
      <c r="J22" s="29">
        <v>2487103</v>
      </c>
      <c r="K22" s="24">
        <f>SUM(G22:J22)</f>
        <v>213555194</v>
      </c>
      <c r="L22" s="25">
        <f t="shared" ref="L22:M25" si="18">+B22-G22</f>
        <v>8133478</v>
      </c>
      <c r="M22" s="25">
        <f t="shared" si="18"/>
        <v>9625579</v>
      </c>
      <c r="N22" s="25"/>
      <c r="O22" s="25">
        <f>+E22-J22</f>
        <v>8030672</v>
      </c>
      <c r="P22" s="26">
        <f>SUM(L22:O22)</f>
        <v>25789729</v>
      </c>
      <c r="Q22" s="1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2.75" customHeight="1">
      <c r="A23" s="22" t="s">
        <v>17</v>
      </c>
      <c r="B23" s="29">
        <v>35384124</v>
      </c>
      <c r="C23" s="29"/>
      <c r="D23" s="29"/>
      <c r="E23" s="30">
        <v>1040001</v>
      </c>
      <c r="F23" s="24">
        <f>SUM(B23:E23)</f>
        <v>36424125</v>
      </c>
      <c r="G23" s="29">
        <v>30247825</v>
      </c>
      <c r="H23" s="29">
        <f>2264-2264</f>
        <v>0</v>
      </c>
      <c r="I23" s="29"/>
      <c r="J23" s="29">
        <v>105287</v>
      </c>
      <c r="K23" s="24">
        <f>SUM(G23:J23)</f>
        <v>30353112</v>
      </c>
      <c r="L23" s="25">
        <f t="shared" si="18"/>
        <v>5136299</v>
      </c>
      <c r="M23" s="25">
        <f t="shared" si="18"/>
        <v>0</v>
      </c>
      <c r="N23" s="25"/>
      <c r="O23" s="25">
        <f>+E23-J23</f>
        <v>934714</v>
      </c>
      <c r="P23" s="26">
        <f>SUM(L23:O23)</f>
        <v>6071013</v>
      </c>
      <c r="Q23" s="1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64" ht="12.75" customHeight="1">
      <c r="A24" s="22" t="s">
        <v>18</v>
      </c>
      <c r="B24" s="29">
        <v>20489343</v>
      </c>
      <c r="C24" s="29">
        <f>599725-450403</f>
        <v>149322</v>
      </c>
      <c r="D24" s="29"/>
      <c r="E24" s="30">
        <v>6230</v>
      </c>
      <c r="F24" s="24">
        <f>SUM(B24:E24)</f>
        <v>20644895</v>
      </c>
      <c r="G24" s="29">
        <v>19132454</v>
      </c>
      <c r="H24" s="29">
        <v>28845</v>
      </c>
      <c r="I24" s="29"/>
      <c r="J24" s="29">
        <v>150</v>
      </c>
      <c r="K24" s="24">
        <f>SUM(G24:J24)</f>
        <v>19161449</v>
      </c>
      <c r="L24" s="25">
        <f t="shared" si="18"/>
        <v>1356889</v>
      </c>
      <c r="M24" s="25">
        <f t="shared" si="18"/>
        <v>120477</v>
      </c>
      <c r="N24" s="25"/>
      <c r="O24" s="25">
        <f>+E24-J24</f>
        <v>6080</v>
      </c>
      <c r="P24" s="26">
        <f>SUM(L24:O24)</f>
        <v>1483446</v>
      </c>
      <c r="Q24" s="1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5" spans="1:64" ht="12.75" customHeight="1">
      <c r="A25" s="22" t="s">
        <v>30</v>
      </c>
      <c r="B25" s="29"/>
      <c r="C25" s="29"/>
      <c r="D25" s="29"/>
      <c r="E25" s="30">
        <v>348050</v>
      </c>
      <c r="F25" s="24">
        <f>SUM(B25:E25)</f>
        <v>348050</v>
      </c>
      <c r="G25" s="29"/>
      <c r="H25" s="29"/>
      <c r="I25" s="29"/>
      <c r="J25" s="29"/>
      <c r="K25" s="24">
        <f>SUM(G25:J25)</f>
        <v>0</v>
      </c>
      <c r="L25" s="25">
        <f t="shared" si="18"/>
        <v>0</v>
      </c>
      <c r="M25" s="25">
        <f t="shared" si="18"/>
        <v>0</v>
      </c>
      <c r="N25" s="25"/>
      <c r="O25" s="25">
        <f>+E25-J25</f>
        <v>348050</v>
      </c>
      <c r="P25" s="26">
        <f>SUM(L25:O25)</f>
        <v>348050</v>
      </c>
      <c r="Q25" s="1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64" ht="12.75" customHeight="1">
      <c r="A26" s="22" t="s">
        <v>19</v>
      </c>
      <c r="B26" s="27">
        <f t="shared" ref="B26:K26" si="19">+B27+B28</f>
        <v>0</v>
      </c>
      <c r="C26" s="27">
        <f t="shared" si="19"/>
        <v>6014350</v>
      </c>
      <c r="D26" s="27">
        <f t="shared" si="19"/>
        <v>0</v>
      </c>
      <c r="E26" s="27">
        <f t="shared" si="19"/>
        <v>2026552</v>
      </c>
      <c r="F26" s="27">
        <f t="shared" si="19"/>
        <v>8040902</v>
      </c>
      <c r="G26" s="27">
        <f t="shared" si="19"/>
        <v>0</v>
      </c>
      <c r="H26" s="27">
        <f t="shared" si="19"/>
        <v>388492</v>
      </c>
      <c r="I26" s="27">
        <f t="shared" si="19"/>
        <v>0</v>
      </c>
      <c r="J26" s="27">
        <f t="shared" si="19"/>
        <v>998340</v>
      </c>
      <c r="K26" s="27">
        <f t="shared" si="19"/>
        <v>1386832</v>
      </c>
      <c r="L26" s="27">
        <f t="shared" ref="L26:P26" si="20">+L27+L28</f>
        <v>0</v>
      </c>
      <c r="M26" s="27">
        <f t="shared" si="20"/>
        <v>5625858</v>
      </c>
      <c r="N26" s="27"/>
      <c r="O26" s="27">
        <f t="shared" si="20"/>
        <v>1028212</v>
      </c>
      <c r="P26" s="28">
        <f t="shared" si="20"/>
        <v>6654070</v>
      </c>
      <c r="Q26" s="1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64" ht="12.75" customHeight="1">
      <c r="A27" s="23" t="s">
        <v>20</v>
      </c>
      <c r="B27" s="29"/>
      <c r="C27" s="29">
        <v>6014350</v>
      </c>
      <c r="D27" s="29"/>
      <c r="E27" s="30">
        <v>2026552</v>
      </c>
      <c r="F27" s="24">
        <f>SUM(B27:E27)</f>
        <v>8040902</v>
      </c>
      <c r="G27" s="25"/>
      <c r="H27" s="25">
        <f>388382+110</f>
        <v>388492</v>
      </c>
      <c r="I27" s="25"/>
      <c r="J27" s="25">
        <v>998340</v>
      </c>
      <c r="K27" s="24">
        <f>SUM(G27:J27)</f>
        <v>1386832</v>
      </c>
      <c r="L27" s="25">
        <f>+B27-G27</f>
        <v>0</v>
      </c>
      <c r="M27" s="25">
        <f>+C27-H27</f>
        <v>5625858</v>
      </c>
      <c r="N27" s="25"/>
      <c r="O27" s="25">
        <f>+E27-J27</f>
        <v>1028212</v>
      </c>
      <c r="P27" s="26">
        <f>SUM(L27:O27)</f>
        <v>6654070</v>
      </c>
      <c r="Q27" s="1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64" ht="12.75" customHeight="1">
      <c r="A28" s="23" t="s">
        <v>21</v>
      </c>
      <c r="B28" s="29"/>
      <c r="C28" s="29"/>
      <c r="D28" s="29"/>
      <c r="E28" s="30"/>
      <c r="F28" s="24">
        <f>SUM(B28:E28)</f>
        <v>0</v>
      </c>
      <c r="G28" s="29"/>
      <c r="H28" s="29">
        <f>110-110</f>
        <v>0</v>
      </c>
      <c r="I28" s="29"/>
      <c r="J28" s="29"/>
      <c r="K28" s="24">
        <f>SUM(G28:J28)</f>
        <v>0</v>
      </c>
      <c r="L28" s="25">
        <f>+B28-G28</f>
        <v>0</v>
      </c>
      <c r="M28" s="25">
        <f>+C28-H28</f>
        <v>0</v>
      </c>
      <c r="N28" s="25"/>
      <c r="O28" s="25">
        <f>+E28-J28</f>
        <v>0</v>
      </c>
      <c r="P28" s="26">
        <f>SUM(L28:O28)</f>
        <v>0</v>
      </c>
      <c r="Q28" s="1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12.75" customHeight="1">
      <c r="A29" s="33"/>
      <c r="B29" s="25"/>
      <c r="C29" s="25"/>
      <c r="D29" s="25"/>
      <c r="E29" s="43"/>
      <c r="F29" s="24"/>
      <c r="G29" s="47"/>
      <c r="H29" s="47"/>
      <c r="I29" s="47"/>
      <c r="J29" s="47"/>
      <c r="K29" s="32"/>
      <c r="L29" s="25"/>
      <c r="M29" s="25"/>
      <c r="N29" s="25"/>
      <c r="O29" s="25"/>
      <c r="P29" s="26"/>
      <c r="Q29" s="18"/>
    </row>
    <row r="30" spans="1:64" ht="12.75" customHeight="1">
      <c r="A30" s="33" t="s">
        <v>46</v>
      </c>
      <c r="B30" s="17">
        <f t="shared" ref="B30:K30" si="21">+B31+B35</f>
        <v>13853</v>
      </c>
      <c r="C30" s="17">
        <f t="shared" si="21"/>
        <v>11593</v>
      </c>
      <c r="D30" s="17">
        <f t="shared" si="21"/>
        <v>0</v>
      </c>
      <c r="E30" s="17">
        <f t="shared" si="21"/>
        <v>0</v>
      </c>
      <c r="F30" s="17">
        <f t="shared" si="21"/>
        <v>25446</v>
      </c>
      <c r="G30" s="17">
        <f t="shared" si="21"/>
        <v>13706.663</v>
      </c>
      <c r="H30" s="17">
        <f t="shared" si="21"/>
        <v>11593.337</v>
      </c>
      <c r="I30" s="17">
        <f t="shared" si="21"/>
        <v>0</v>
      </c>
      <c r="J30" s="17">
        <f t="shared" si="21"/>
        <v>0</v>
      </c>
      <c r="K30" s="17">
        <f t="shared" si="21"/>
        <v>25300</v>
      </c>
      <c r="L30" s="17">
        <f>+L31+L35</f>
        <v>146.33699999999953</v>
      </c>
      <c r="M30" s="17">
        <f>+M31+M35</f>
        <v>-0.33699999999953434</v>
      </c>
      <c r="N30" s="17"/>
      <c r="O30" s="17">
        <f>+O31+O35</f>
        <v>0</v>
      </c>
      <c r="P30" s="17">
        <f>+P31+P35</f>
        <v>146</v>
      </c>
      <c r="Q30" s="18">
        <f>+K30/F30</f>
        <v>0.99426235950640574</v>
      </c>
      <c r="W30" s="50"/>
      <c r="AZ30" s="50"/>
      <c r="BA30" s="50"/>
      <c r="BB30" s="50"/>
      <c r="BC30" s="50"/>
    </row>
    <row r="31" spans="1:64" ht="12.75" customHeight="1">
      <c r="A31" s="41" t="s">
        <v>15</v>
      </c>
      <c r="B31" s="20">
        <f t="shared" ref="B31:K31" si="22">+B32+B33+B34</f>
        <v>13853</v>
      </c>
      <c r="C31" s="20">
        <f t="shared" si="22"/>
        <v>11593</v>
      </c>
      <c r="D31" s="20">
        <f t="shared" si="22"/>
        <v>0</v>
      </c>
      <c r="E31" s="20">
        <f t="shared" si="22"/>
        <v>0</v>
      </c>
      <c r="F31" s="20">
        <f t="shared" si="22"/>
        <v>25446</v>
      </c>
      <c r="G31" s="20">
        <f t="shared" si="22"/>
        <v>13706.663</v>
      </c>
      <c r="H31" s="20">
        <f t="shared" si="22"/>
        <v>11593.337</v>
      </c>
      <c r="I31" s="20">
        <f t="shared" si="22"/>
        <v>0</v>
      </c>
      <c r="J31" s="20">
        <f t="shared" si="22"/>
        <v>0</v>
      </c>
      <c r="K31" s="20">
        <f t="shared" si="22"/>
        <v>25300</v>
      </c>
      <c r="L31" s="20">
        <f>+L32+L33+L34</f>
        <v>146.33699999999953</v>
      </c>
      <c r="M31" s="20">
        <f>+M32+M33+M34</f>
        <v>-0.33699999999953434</v>
      </c>
      <c r="N31" s="20"/>
      <c r="O31" s="20">
        <f>+O32+O33+O34</f>
        <v>0</v>
      </c>
      <c r="P31" s="21">
        <f>+P32+P33+P34</f>
        <v>146</v>
      </c>
      <c r="Q31" s="18"/>
      <c r="W31" s="50"/>
      <c r="AV31" s="50"/>
      <c r="AW31" s="50"/>
      <c r="AX31" s="50"/>
      <c r="AZ31" s="50"/>
      <c r="BA31" s="50"/>
      <c r="BB31" s="50"/>
      <c r="BC31" s="50"/>
    </row>
    <row r="32" spans="1:64" ht="12.75" customHeight="1">
      <c r="A32" s="22" t="s">
        <v>16</v>
      </c>
      <c r="B32" s="29">
        <v>12586</v>
      </c>
      <c r="C32" s="29">
        <v>11593</v>
      </c>
      <c r="D32" s="29"/>
      <c r="E32" s="30"/>
      <c r="F32" s="24">
        <f>SUM(B32:E32)</f>
        <v>24179</v>
      </c>
      <c r="G32" s="29">
        <v>12585.663</v>
      </c>
      <c r="H32" s="29">
        <v>11593.337</v>
      </c>
      <c r="I32" s="29"/>
      <c r="J32" s="29"/>
      <c r="K32" s="24">
        <f>SUM(G32:J32)</f>
        <v>24179</v>
      </c>
      <c r="L32" s="25">
        <f t="shared" ref="L32:M34" si="23">+B32-G32</f>
        <v>0.33699999999953434</v>
      </c>
      <c r="M32" s="25">
        <f t="shared" si="23"/>
        <v>-0.33699999999953434</v>
      </c>
      <c r="N32" s="25"/>
      <c r="O32" s="25">
        <f>+E32-J32</f>
        <v>0</v>
      </c>
      <c r="P32" s="26">
        <f>SUM(L32:O32)</f>
        <v>0</v>
      </c>
      <c r="Q32" s="18"/>
      <c r="W32" s="50"/>
      <c r="AV32" s="50"/>
      <c r="AW32" s="50"/>
      <c r="AX32" s="50"/>
      <c r="AZ32" s="50"/>
      <c r="BA32" s="50"/>
      <c r="BB32" s="50"/>
      <c r="BC32" s="50"/>
    </row>
    <row r="33" spans="1:55" ht="12.75" customHeight="1">
      <c r="A33" s="22" t="s">
        <v>17</v>
      </c>
      <c r="B33" s="29">
        <v>266</v>
      </c>
      <c r="C33" s="34"/>
      <c r="D33" s="34"/>
      <c r="E33" s="30"/>
      <c r="F33" s="24">
        <f>SUM(B33:E33)</f>
        <v>266</v>
      </c>
      <c r="G33" s="29">
        <v>120</v>
      </c>
      <c r="H33" s="34"/>
      <c r="I33" s="34"/>
      <c r="J33" s="34"/>
      <c r="K33" s="24">
        <f>SUM(G33:J33)</f>
        <v>120</v>
      </c>
      <c r="L33" s="25">
        <f t="shared" si="23"/>
        <v>146</v>
      </c>
      <c r="M33" s="25">
        <f t="shared" si="23"/>
        <v>0</v>
      </c>
      <c r="N33" s="25"/>
      <c r="O33" s="25">
        <f>+E33-J33</f>
        <v>0</v>
      </c>
      <c r="P33" s="26">
        <f>SUM(L33:O33)</f>
        <v>146</v>
      </c>
      <c r="Q33" s="18"/>
      <c r="W33" s="50"/>
      <c r="AV33" s="50"/>
      <c r="AW33" s="50"/>
      <c r="AX33" s="50"/>
      <c r="AZ33" s="51"/>
      <c r="BA33" s="50"/>
      <c r="BB33" s="50"/>
      <c r="BC33" s="50"/>
    </row>
    <row r="34" spans="1:55" ht="12.75" customHeight="1">
      <c r="A34" s="22" t="s">
        <v>18</v>
      </c>
      <c r="B34" s="29">
        <v>1001</v>
      </c>
      <c r="C34" s="34"/>
      <c r="D34" s="34"/>
      <c r="E34" s="35"/>
      <c r="F34" s="24">
        <f>SUM(B34:E34)</f>
        <v>1001</v>
      </c>
      <c r="G34" s="29">
        <v>1001</v>
      </c>
      <c r="H34" s="34"/>
      <c r="I34" s="34"/>
      <c r="J34" s="34"/>
      <c r="K34" s="24">
        <f>SUM(G34:J34)</f>
        <v>1001</v>
      </c>
      <c r="L34" s="25">
        <f t="shared" si="23"/>
        <v>0</v>
      </c>
      <c r="M34" s="25">
        <f t="shared" si="23"/>
        <v>0</v>
      </c>
      <c r="N34" s="25"/>
      <c r="O34" s="25">
        <f>+E34-J34</f>
        <v>0</v>
      </c>
      <c r="P34" s="26">
        <f>SUM(L34:O34)</f>
        <v>0</v>
      </c>
      <c r="Q34" s="18"/>
      <c r="W34" s="50"/>
      <c r="AV34" s="50"/>
      <c r="AW34" s="50"/>
      <c r="AX34" s="50"/>
      <c r="AZ34" s="50"/>
      <c r="BA34" s="50"/>
      <c r="BB34" s="50"/>
      <c r="BC34" s="50"/>
    </row>
    <row r="35" spans="1:55" ht="12.75" customHeight="1">
      <c r="A35" s="22" t="s">
        <v>19</v>
      </c>
      <c r="B35" s="27">
        <f t="shared" ref="B35:K35" si="24">+B36+B37</f>
        <v>0</v>
      </c>
      <c r="C35" s="27">
        <f t="shared" si="24"/>
        <v>0</v>
      </c>
      <c r="D35" s="27">
        <f t="shared" si="24"/>
        <v>0</v>
      </c>
      <c r="E35" s="27">
        <f t="shared" si="24"/>
        <v>0</v>
      </c>
      <c r="F35" s="27">
        <f t="shared" si="24"/>
        <v>0</v>
      </c>
      <c r="G35" s="27">
        <f t="shared" si="24"/>
        <v>0</v>
      </c>
      <c r="H35" s="27">
        <f t="shared" si="24"/>
        <v>0</v>
      </c>
      <c r="I35" s="27">
        <f t="shared" si="24"/>
        <v>0</v>
      </c>
      <c r="J35" s="27">
        <f t="shared" si="24"/>
        <v>0</v>
      </c>
      <c r="K35" s="27">
        <f t="shared" si="24"/>
        <v>0</v>
      </c>
      <c r="L35" s="27">
        <f t="shared" ref="L35:P35" si="25">+L36+L37</f>
        <v>0</v>
      </c>
      <c r="M35" s="27">
        <f t="shared" si="25"/>
        <v>0</v>
      </c>
      <c r="N35" s="27"/>
      <c r="O35" s="27">
        <f t="shared" si="25"/>
        <v>0</v>
      </c>
      <c r="P35" s="28">
        <f t="shared" si="25"/>
        <v>0</v>
      </c>
      <c r="Q35" s="18"/>
      <c r="W35" s="50"/>
      <c r="AV35" s="50"/>
      <c r="AW35" s="50"/>
      <c r="AX35" s="50"/>
      <c r="AZ35" s="50"/>
      <c r="BA35" s="50"/>
      <c r="BB35" s="50"/>
      <c r="BC35" s="50"/>
    </row>
    <row r="36" spans="1:55" ht="12.75" customHeight="1">
      <c r="A36" s="23" t="s">
        <v>20</v>
      </c>
      <c r="B36" s="29"/>
      <c r="C36" s="29"/>
      <c r="D36" s="29"/>
      <c r="E36" s="30"/>
      <c r="F36" s="24">
        <f>SUM(B36:E36)</f>
        <v>0</v>
      </c>
      <c r="G36" s="29"/>
      <c r="H36" s="29"/>
      <c r="I36" s="29"/>
      <c r="J36" s="29"/>
      <c r="K36" s="24">
        <f>SUM(G36:J36)</f>
        <v>0</v>
      </c>
      <c r="L36" s="25">
        <f>+B36-G36</f>
        <v>0</v>
      </c>
      <c r="M36" s="25">
        <f>+C36-H36</f>
        <v>0</v>
      </c>
      <c r="N36" s="25"/>
      <c r="O36" s="25">
        <f>+E36-J36</f>
        <v>0</v>
      </c>
      <c r="P36" s="26">
        <f>SUM(L36:O36)</f>
        <v>0</v>
      </c>
      <c r="Q36" s="18"/>
      <c r="W36" s="50"/>
      <c r="AV36" s="50"/>
      <c r="AW36" s="50"/>
      <c r="AX36" s="50"/>
      <c r="AZ36" s="51"/>
      <c r="BA36" s="51"/>
      <c r="BB36" s="50"/>
      <c r="BC36" s="50"/>
    </row>
    <row r="37" spans="1:55" ht="12.75" customHeight="1">
      <c r="A37" s="23" t="s">
        <v>21</v>
      </c>
      <c r="B37" s="29"/>
      <c r="C37" s="29"/>
      <c r="D37" s="29"/>
      <c r="E37" s="30"/>
      <c r="F37" s="24">
        <f>SUM(B37:E37)</f>
        <v>0</v>
      </c>
      <c r="G37" s="29"/>
      <c r="H37" s="29"/>
      <c r="I37" s="29"/>
      <c r="J37" s="29"/>
      <c r="K37" s="24">
        <f>SUM(G37:J37)</f>
        <v>0</v>
      </c>
      <c r="L37" s="25">
        <f>+B37-G37</f>
        <v>0</v>
      </c>
      <c r="M37" s="25">
        <f>+C37-H37</f>
        <v>0</v>
      </c>
      <c r="N37" s="25"/>
      <c r="O37" s="25">
        <f>+E37-J37</f>
        <v>0</v>
      </c>
      <c r="P37" s="26">
        <f>SUM(L37:O37)</f>
        <v>0</v>
      </c>
      <c r="Q37" s="18"/>
      <c r="W37" s="50"/>
      <c r="AV37" s="50"/>
      <c r="AW37" s="50"/>
      <c r="AX37" s="50"/>
      <c r="AZ37" s="50"/>
      <c r="BA37" s="50"/>
      <c r="BB37" s="50"/>
      <c r="BC37" s="50"/>
    </row>
    <row r="38" spans="1:55" ht="12.75" customHeight="1">
      <c r="A38" s="33"/>
      <c r="B38" s="25"/>
      <c r="C38" s="25"/>
      <c r="D38" s="25"/>
      <c r="E38" s="43"/>
      <c r="F38" s="24"/>
      <c r="G38" s="47"/>
      <c r="H38" s="47"/>
      <c r="I38" s="47"/>
      <c r="J38" s="47"/>
      <c r="K38" s="32"/>
      <c r="L38" s="25"/>
      <c r="M38" s="25"/>
      <c r="N38" s="25"/>
      <c r="O38" s="25"/>
      <c r="P38" s="26"/>
      <c r="Q38" s="18"/>
      <c r="W38" s="50"/>
      <c r="AV38" s="50"/>
      <c r="AW38" s="50"/>
      <c r="AX38" s="50"/>
      <c r="AZ38" s="50"/>
      <c r="BA38" s="50"/>
      <c r="BB38" s="50"/>
      <c r="BC38" s="50"/>
    </row>
    <row r="39" spans="1:55" ht="12.75" customHeight="1">
      <c r="A39" s="215" t="s">
        <v>47</v>
      </c>
      <c r="B39" s="17">
        <f t="shared" ref="B39:K39" si="26">+B40+B44</f>
        <v>3347</v>
      </c>
      <c r="C39" s="17">
        <f t="shared" si="26"/>
        <v>9597</v>
      </c>
      <c r="D39" s="17">
        <f t="shared" si="26"/>
        <v>0</v>
      </c>
      <c r="E39" s="17">
        <f t="shared" si="26"/>
        <v>1240</v>
      </c>
      <c r="F39" s="17">
        <f t="shared" si="26"/>
        <v>14184</v>
      </c>
      <c r="G39" s="17">
        <f t="shared" si="26"/>
        <v>2792</v>
      </c>
      <c r="H39" s="17">
        <f t="shared" si="26"/>
        <v>7565</v>
      </c>
      <c r="I39" s="17">
        <f t="shared" si="26"/>
        <v>0</v>
      </c>
      <c r="J39" s="17">
        <f t="shared" si="26"/>
        <v>1240</v>
      </c>
      <c r="K39" s="17">
        <f t="shared" si="26"/>
        <v>11597</v>
      </c>
      <c r="L39" s="17">
        <f>+L40+L44</f>
        <v>555</v>
      </c>
      <c r="M39" s="17">
        <f>+M40+M44</f>
        <v>2032</v>
      </c>
      <c r="N39" s="17"/>
      <c r="O39" s="17">
        <f>+O40+O44</f>
        <v>0</v>
      </c>
      <c r="P39" s="17">
        <f>+P40+P44</f>
        <v>2587</v>
      </c>
      <c r="Q39" s="18">
        <f>+K39/F39</f>
        <v>0.81761139311900732</v>
      </c>
      <c r="W39" s="50"/>
      <c r="AV39" s="50"/>
      <c r="AW39" s="50"/>
      <c r="AX39" s="50"/>
      <c r="AZ39" s="50"/>
      <c r="BA39" s="50"/>
      <c r="BB39" s="50"/>
      <c r="BC39" s="50"/>
    </row>
    <row r="40" spans="1:55" ht="12.75" customHeight="1">
      <c r="A40" s="41" t="s">
        <v>15</v>
      </c>
      <c r="B40" s="20">
        <f t="shared" ref="B40:K40" si="27">+B41+B42+B43</f>
        <v>3347</v>
      </c>
      <c r="C40" s="20">
        <f t="shared" si="27"/>
        <v>9597</v>
      </c>
      <c r="D40" s="20">
        <f t="shared" si="27"/>
        <v>0</v>
      </c>
      <c r="E40" s="20">
        <f t="shared" si="27"/>
        <v>1240</v>
      </c>
      <c r="F40" s="20">
        <f t="shared" si="27"/>
        <v>14184</v>
      </c>
      <c r="G40" s="20">
        <f t="shared" si="27"/>
        <v>2792</v>
      </c>
      <c r="H40" s="20">
        <f t="shared" si="27"/>
        <v>7565</v>
      </c>
      <c r="I40" s="20">
        <f t="shared" si="27"/>
        <v>0</v>
      </c>
      <c r="J40" s="20">
        <f t="shared" si="27"/>
        <v>1240</v>
      </c>
      <c r="K40" s="20">
        <f t="shared" si="27"/>
        <v>11597</v>
      </c>
      <c r="L40" s="20">
        <f>+L41+L42+L43</f>
        <v>555</v>
      </c>
      <c r="M40" s="20">
        <f>+M41+M42+M43</f>
        <v>2032</v>
      </c>
      <c r="N40" s="20"/>
      <c r="O40" s="20">
        <f>+O41+O42+O43</f>
        <v>0</v>
      </c>
      <c r="P40" s="21">
        <f>+P41+P42+P43</f>
        <v>2587</v>
      </c>
      <c r="Q40" s="18"/>
      <c r="W40" s="50"/>
      <c r="AV40" s="50"/>
      <c r="AW40" s="50"/>
      <c r="AX40" s="50"/>
      <c r="AZ40" s="50"/>
      <c r="BA40" s="50"/>
      <c r="BB40" s="50"/>
      <c r="BC40" s="50"/>
    </row>
    <row r="41" spans="1:55" ht="12.75" customHeight="1">
      <c r="A41" s="22" t="s">
        <v>16</v>
      </c>
      <c r="B41" s="29">
        <v>3104</v>
      </c>
      <c r="C41" s="29">
        <v>9597</v>
      </c>
      <c r="D41" s="29"/>
      <c r="E41" s="30">
        <v>1240</v>
      </c>
      <c r="F41" s="24">
        <f>SUM(B41:E41)</f>
        <v>13941</v>
      </c>
      <c r="G41" s="29">
        <v>2572</v>
      </c>
      <c r="H41" s="29">
        <v>7565</v>
      </c>
      <c r="I41" s="29"/>
      <c r="J41" s="29">
        <v>1240</v>
      </c>
      <c r="K41" s="24">
        <f>SUM(G41:J41)</f>
        <v>11377</v>
      </c>
      <c r="L41" s="25">
        <f t="shared" ref="L41:M43" si="28">+B41-G41</f>
        <v>532</v>
      </c>
      <c r="M41" s="25">
        <f t="shared" si="28"/>
        <v>2032</v>
      </c>
      <c r="N41" s="25"/>
      <c r="O41" s="25">
        <f>+E41-J41</f>
        <v>0</v>
      </c>
      <c r="P41" s="26">
        <f>SUM(L41:O41)</f>
        <v>2564</v>
      </c>
      <c r="Q41" s="18"/>
      <c r="W41" s="50"/>
      <c r="AV41" s="50"/>
      <c r="AW41" s="50"/>
      <c r="AX41" s="50"/>
      <c r="AZ41" s="50"/>
      <c r="BA41" s="50"/>
      <c r="BB41" s="50"/>
      <c r="BC41" s="50"/>
    </row>
    <row r="42" spans="1:55" ht="12.75" customHeight="1">
      <c r="A42" s="22" t="s">
        <v>17</v>
      </c>
      <c r="B42" s="29">
        <v>25</v>
      </c>
      <c r="C42" s="34"/>
      <c r="D42" s="34"/>
      <c r="E42" s="30"/>
      <c r="F42" s="24">
        <f>SUM(B42:E42)</f>
        <v>25</v>
      </c>
      <c r="G42" s="29">
        <v>15</v>
      </c>
      <c r="H42" s="34"/>
      <c r="I42" s="34"/>
      <c r="J42" s="34"/>
      <c r="K42" s="24">
        <f>SUM(G42:J42)</f>
        <v>15</v>
      </c>
      <c r="L42" s="25">
        <f t="shared" si="28"/>
        <v>10</v>
      </c>
      <c r="M42" s="25">
        <f t="shared" si="28"/>
        <v>0</v>
      </c>
      <c r="N42" s="25"/>
      <c r="O42" s="25">
        <f>+E42-J42</f>
        <v>0</v>
      </c>
      <c r="P42" s="26">
        <f>SUM(L42:O42)</f>
        <v>10</v>
      </c>
      <c r="Q42" s="18"/>
      <c r="W42" s="50"/>
      <c r="AV42" s="50"/>
      <c r="AW42" s="50"/>
      <c r="AX42" s="50"/>
      <c r="AZ42" s="50"/>
      <c r="BA42" s="50"/>
      <c r="BB42" s="50"/>
      <c r="BC42" s="50"/>
    </row>
    <row r="43" spans="1:55" ht="12.75" customHeight="1">
      <c r="A43" s="22" t="s">
        <v>18</v>
      </c>
      <c r="B43" s="29">
        <v>218</v>
      </c>
      <c r="C43" s="34"/>
      <c r="D43" s="34"/>
      <c r="E43" s="35"/>
      <c r="F43" s="24">
        <f>SUM(B43:E43)</f>
        <v>218</v>
      </c>
      <c r="G43" s="29">
        <v>205</v>
      </c>
      <c r="H43" s="34"/>
      <c r="I43" s="34"/>
      <c r="J43" s="34"/>
      <c r="K43" s="24">
        <f>SUM(G43:J43)</f>
        <v>205</v>
      </c>
      <c r="L43" s="25">
        <f t="shared" si="28"/>
        <v>13</v>
      </c>
      <c r="M43" s="25">
        <f t="shared" si="28"/>
        <v>0</v>
      </c>
      <c r="N43" s="25"/>
      <c r="O43" s="25">
        <f>+E43-J43</f>
        <v>0</v>
      </c>
      <c r="P43" s="26">
        <f>SUM(L43:O43)</f>
        <v>13</v>
      </c>
      <c r="Q43" s="18"/>
      <c r="W43" s="50"/>
      <c r="AV43" s="50"/>
      <c r="AW43" s="50"/>
      <c r="AX43" s="50"/>
      <c r="AZ43" s="50"/>
      <c r="BA43" s="50"/>
      <c r="BB43" s="50"/>
      <c r="BC43" s="50"/>
    </row>
    <row r="44" spans="1:55" ht="12.75" customHeight="1">
      <c r="A44" s="22" t="s">
        <v>19</v>
      </c>
      <c r="B44" s="27">
        <f t="shared" ref="B44:K44" si="29">+B45+B46</f>
        <v>0</v>
      </c>
      <c r="C44" s="27">
        <f t="shared" si="29"/>
        <v>0</v>
      </c>
      <c r="D44" s="27">
        <f t="shared" si="29"/>
        <v>0</v>
      </c>
      <c r="E44" s="27">
        <f t="shared" si="29"/>
        <v>0</v>
      </c>
      <c r="F44" s="27">
        <f t="shared" si="29"/>
        <v>0</v>
      </c>
      <c r="G44" s="27">
        <f t="shared" si="29"/>
        <v>0</v>
      </c>
      <c r="H44" s="27">
        <f t="shared" si="29"/>
        <v>0</v>
      </c>
      <c r="I44" s="27">
        <f t="shared" si="29"/>
        <v>0</v>
      </c>
      <c r="J44" s="27">
        <f t="shared" si="29"/>
        <v>0</v>
      </c>
      <c r="K44" s="27">
        <f t="shared" si="29"/>
        <v>0</v>
      </c>
      <c r="L44" s="27">
        <f t="shared" ref="L44:P44" si="30">+L45+L46</f>
        <v>0</v>
      </c>
      <c r="M44" s="27">
        <f t="shared" si="30"/>
        <v>0</v>
      </c>
      <c r="N44" s="27"/>
      <c r="O44" s="27">
        <f t="shared" si="30"/>
        <v>0</v>
      </c>
      <c r="P44" s="28">
        <f t="shared" si="30"/>
        <v>0</v>
      </c>
      <c r="Q44" s="18"/>
      <c r="W44" s="50"/>
      <c r="AV44" s="50"/>
      <c r="AW44" s="50"/>
      <c r="AX44" s="50"/>
      <c r="AZ44" s="50"/>
      <c r="BA44" s="50"/>
      <c r="BB44" s="50"/>
      <c r="BC44" s="50"/>
    </row>
    <row r="45" spans="1:55" ht="12.75" customHeight="1">
      <c r="A45" s="23" t="s">
        <v>20</v>
      </c>
      <c r="B45" s="29"/>
      <c r="C45" s="29"/>
      <c r="D45" s="29"/>
      <c r="E45" s="30"/>
      <c r="F45" s="24">
        <f>SUM(B45:E45)</f>
        <v>0</v>
      </c>
      <c r="G45" s="29"/>
      <c r="H45" s="29"/>
      <c r="I45" s="29"/>
      <c r="J45" s="29"/>
      <c r="K45" s="24">
        <f>SUM(G45:J45)</f>
        <v>0</v>
      </c>
      <c r="L45" s="25">
        <f>+B45-G45</f>
        <v>0</v>
      </c>
      <c r="M45" s="25">
        <f>+C45-H45</f>
        <v>0</v>
      </c>
      <c r="N45" s="25"/>
      <c r="O45" s="25">
        <f>+E45-J45</f>
        <v>0</v>
      </c>
      <c r="P45" s="26">
        <f>SUM(L45:O45)</f>
        <v>0</v>
      </c>
      <c r="Q45" s="18"/>
      <c r="W45" s="50"/>
      <c r="AV45" s="50"/>
      <c r="AW45" s="50"/>
      <c r="AX45" s="50"/>
      <c r="AZ45" s="50"/>
      <c r="BA45" s="50"/>
      <c r="BB45" s="50"/>
      <c r="BC45" s="50"/>
    </row>
    <row r="46" spans="1:55" ht="12.75" customHeight="1">
      <c r="A46" s="23" t="s">
        <v>21</v>
      </c>
      <c r="B46" s="29"/>
      <c r="C46" s="29"/>
      <c r="D46" s="29"/>
      <c r="E46" s="30"/>
      <c r="F46" s="24">
        <f>SUM(B46:E46)</f>
        <v>0</v>
      </c>
      <c r="G46" s="29"/>
      <c r="H46" s="29"/>
      <c r="I46" s="29"/>
      <c r="J46" s="29"/>
      <c r="K46" s="24">
        <f>SUM(G46:J46)</f>
        <v>0</v>
      </c>
      <c r="L46" s="25">
        <f>+B46-G46</f>
        <v>0</v>
      </c>
      <c r="M46" s="25">
        <f>+C46-H46</f>
        <v>0</v>
      </c>
      <c r="N46" s="25"/>
      <c r="O46" s="25">
        <f>+E46-J46</f>
        <v>0</v>
      </c>
      <c r="P46" s="26">
        <f>SUM(L46:O46)</f>
        <v>0</v>
      </c>
      <c r="Q46" s="18"/>
      <c r="W46" s="50"/>
      <c r="AV46" s="50"/>
      <c r="AW46" s="50"/>
      <c r="AX46" s="50"/>
      <c r="AZ46" s="50"/>
      <c r="BA46" s="50"/>
      <c r="BB46" s="50"/>
      <c r="BC46" s="50"/>
    </row>
    <row r="47" spans="1:55" ht="12.75" customHeight="1">
      <c r="A47" s="33"/>
      <c r="B47" s="25"/>
      <c r="C47" s="25"/>
      <c r="D47" s="25"/>
      <c r="E47" s="43"/>
      <c r="F47" s="24"/>
      <c r="G47" s="47"/>
      <c r="H47" s="47"/>
      <c r="I47" s="47"/>
      <c r="J47" s="47"/>
      <c r="K47" s="32"/>
      <c r="L47" s="25"/>
      <c r="M47" s="25"/>
      <c r="N47" s="25"/>
      <c r="O47" s="25"/>
      <c r="P47" s="26"/>
      <c r="Q47" s="18"/>
      <c r="T47" s="50"/>
      <c r="U47" s="50"/>
      <c r="V47" s="50"/>
      <c r="W47" s="50"/>
      <c r="AV47" s="50"/>
      <c r="AW47" s="50"/>
      <c r="AX47" s="50"/>
      <c r="AZ47" s="50"/>
      <c r="BA47" s="50"/>
      <c r="BB47" s="50"/>
      <c r="BC47" s="50"/>
    </row>
    <row r="48" spans="1:55" ht="12.75" customHeight="1">
      <c r="A48" s="33" t="s">
        <v>48</v>
      </c>
      <c r="B48" s="17">
        <f t="shared" ref="B48:K48" si="31">+B49+B53</f>
        <v>106013</v>
      </c>
      <c r="C48" s="17">
        <f t="shared" si="31"/>
        <v>166759</v>
      </c>
      <c r="D48" s="17">
        <f t="shared" si="31"/>
        <v>0</v>
      </c>
      <c r="E48" s="17">
        <f t="shared" si="31"/>
        <v>709938</v>
      </c>
      <c r="F48" s="17">
        <f t="shared" si="31"/>
        <v>982710</v>
      </c>
      <c r="G48" s="17">
        <f t="shared" si="31"/>
        <v>99228</v>
      </c>
      <c r="H48" s="17">
        <f t="shared" si="31"/>
        <v>100108</v>
      </c>
      <c r="I48" s="17">
        <f t="shared" si="31"/>
        <v>0</v>
      </c>
      <c r="J48" s="17">
        <f t="shared" si="31"/>
        <v>464214</v>
      </c>
      <c r="K48" s="17">
        <f t="shared" si="31"/>
        <v>663550</v>
      </c>
      <c r="L48" s="17">
        <f>+L49+L53</f>
        <v>6785</v>
      </c>
      <c r="M48" s="17">
        <f>+M49+M53</f>
        <v>66651</v>
      </c>
      <c r="N48" s="17"/>
      <c r="O48" s="17">
        <f>+O49+O53</f>
        <v>245724</v>
      </c>
      <c r="P48" s="17">
        <f>+P49+P53</f>
        <v>319160</v>
      </c>
      <c r="Q48" s="18">
        <f>+K48/F48</f>
        <v>0.67522463392048515</v>
      </c>
      <c r="T48" s="50"/>
      <c r="U48" s="50"/>
      <c r="V48" s="50"/>
      <c r="W48" s="50"/>
      <c r="AV48" s="50"/>
      <c r="AW48" s="50"/>
      <c r="AX48" s="50"/>
      <c r="AZ48" s="50"/>
      <c r="BA48" s="50"/>
      <c r="BB48" s="50"/>
      <c r="BC48" s="50"/>
    </row>
    <row r="49" spans="1:55" ht="12.75" customHeight="1">
      <c r="A49" s="41" t="s">
        <v>15</v>
      </c>
      <c r="B49" s="20">
        <f t="shared" ref="B49:K49" si="32">+B50+B51+B52</f>
        <v>106013</v>
      </c>
      <c r="C49" s="20">
        <f t="shared" si="32"/>
        <v>150897</v>
      </c>
      <c r="D49" s="20">
        <f t="shared" si="32"/>
        <v>0</v>
      </c>
      <c r="E49" s="20">
        <f t="shared" si="32"/>
        <v>709287</v>
      </c>
      <c r="F49" s="20">
        <f t="shared" si="32"/>
        <v>966197</v>
      </c>
      <c r="G49" s="20">
        <f t="shared" si="32"/>
        <v>99228</v>
      </c>
      <c r="H49" s="20">
        <f t="shared" si="32"/>
        <v>100108</v>
      </c>
      <c r="I49" s="20">
        <f t="shared" si="32"/>
        <v>0</v>
      </c>
      <c r="J49" s="20">
        <f t="shared" si="32"/>
        <v>464214</v>
      </c>
      <c r="K49" s="20">
        <f t="shared" si="32"/>
        <v>663550</v>
      </c>
      <c r="L49" s="20">
        <f>+L50+L51+L52</f>
        <v>6785</v>
      </c>
      <c r="M49" s="20">
        <f>+M50+M51+M52</f>
        <v>50789</v>
      </c>
      <c r="N49" s="20"/>
      <c r="O49" s="20">
        <f>+O50+O51+O52</f>
        <v>245073</v>
      </c>
      <c r="P49" s="21">
        <f>+P50+P51+P52</f>
        <v>302647</v>
      </c>
      <c r="Q49" s="18"/>
      <c r="T49" s="50"/>
      <c r="U49" s="50"/>
      <c r="V49" s="50"/>
      <c r="W49" s="50"/>
      <c r="AV49" s="50"/>
      <c r="AW49" s="50"/>
      <c r="AX49" s="50"/>
      <c r="AZ49" s="51"/>
      <c r="BA49" s="50"/>
      <c r="BB49" s="50"/>
      <c r="BC49" s="50"/>
    </row>
    <row r="50" spans="1:55" ht="12.75" customHeight="1">
      <c r="A50" s="22" t="s">
        <v>16</v>
      </c>
      <c r="B50" s="29">
        <v>88535</v>
      </c>
      <c r="C50" s="29">
        <v>150897</v>
      </c>
      <c r="D50" s="29"/>
      <c r="E50" s="30">
        <v>709287</v>
      </c>
      <c r="F50" s="24">
        <f>SUM(B50:E50)</f>
        <v>948719</v>
      </c>
      <c r="G50" s="29">
        <v>83785</v>
      </c>
      <c r="H50" s="29">
        <f>96808+3300</f>
        <v>100108</v>
      </c>
      <c r="I50" s="29">
        <f>3300-3300</f>
        <v>0</v>
      </c>
      <c r="J50" s="29">
        <v>464214</v>
      </c>
      <c r="K50" s="24">
        <f>SUM(G50:J50)</f>
        <v>648107</v>
      </c>
      <c r="L50" s="25">
        <f t="shared" ref="L50:M52" si="33">+B50-G50</f>
        <v>4750</v>
      </c>
      <c r="M50" s="25">
        <f t="shared" si="33"/>
        <v>50789</v>
      </c>
      <c r="N50" s="25"/>
      <c r="O50" s="25">
        <f>+E50-J50</f>
        <v>245073</v>
      </c>
      <c r="P50" s="26">
        <f>SUM(L50:O50)</f>
        <v>300612</v>
      </c>
      <c r="Q50" s="18"/>
      <c r="T50" s="50"/>
      <c r="U50" s="50"/>
      <c r="V50" s="50"/>
      <c r="W50" s="50"/>
      <c r="AV50" s="50"/>
      <c r="AW50" s="50"/>
      <c r="AX50" s="50"/>
      <c r="AZ50" s="50"/>
      <c r="BA50" s="50"/>
      <c r="BB50" s="50"/>
      <c r="BC50" s="50"/>
    </row>
    <row r="51" spans="1:55" ht="12.75" customHeight="1">
      <c r="A51" s="22" t="s">
        <v>17</v>
      </c>
      <c r="B51" s="29">
        <v>9907</v>
      </c>
      <c r="C51" s="34"/>
      <c r="D51" s="34"/>
      <c r="E51" s="30"/>
      <c r="F51" s="24">
        <f>SUM(B51:E51)</f>
        <v>9907</v>
      </c>
      <c r="G51" s="29">
        <v>8462</v>
      </c>
      <c r="H51" s="34"/>
      <c r="I51" s="34"/>
      <c r="J51" s="34"/>
      <c r="K51" s="24">
        <f>SUM(G51:J51)</f>
        <v>8462</v>
      </c>
      <c r="L51" s="25">
        <f t="shared" si="33"/>
        <v>1445</v>
      </c>
      <c r="M51" s="25">
        <f t="shared" si="33"/>
        <v>0</v>
      </c>
      <c r="N51" s="25"/>
      <c r="O51" s="25">
        <f>+E51-J51</f>
        <v>0</v>
      </c>
      <c r="P51" s="26">
        <f>SUM(L51:O51)</f>
        <v>1445</v>
      </c>
      <c r="Q51" s="18"/>
      <c r="T51" s="50"/>
      <c r="U51" s="50"/>
      <c r="V51" s="50"/>
      <c r="W51" s="50"/>
      <c r="AV51" s="50"/>
      <c r="AW51" s="50"/>
      <c r="AX51" s="50"/>
      <c r="AZ51" s="50"/>
      <c r="BA51" s="50"/>
      <c r="BB51" s="50"/>
      <c r="BC51" s="50"/>
    </row>
    <row r="52" spans="1:55" ht="12.75" customHeight="1">
      <c r="A52" s="22" t="s">
        <v>18</v>
      </c>
      <c r="B52" s="29">
        <v>7571</v>
      </c>
      <c r="C52" s="34"/>
      <c r="D52" s="34"/>
      <c r="E52" s="35"/>
      <c r="F52" s="24">
        <f>SUM(B52:E52)</f>
        <v>7571</v>
      </c>
      <c r="G52" s="29">
        <v>6981</v>
      </c>
      <c r="H52" s="34"/>
      <c r="I52" s="34"/>
      <c r="J52" s="34"/>
      <c r="K52" s="24">
        <f>SUM(G52:J52)</f>
        <v>6981</v>
      </c>
      <c r="L52" s="25">
        <f t="shared" si="33"/>
        <v>590</v>
      </c>
      <c r="M52" s="25">
        <f t="shared" si="33"/>
        <v>0</v>
      </c>
      <c r="N52" s="25"/>
      <c r="O52" s="25">
        <f>+E52-J52</f>
        <v>0</v>
      </c>
      <c r="P52" s="26">
        <f>SUM(L52:O52)</f>
        <v>590</v>
      </c>
      <c r="Q52" s="18"/>
      <c r="T52" s="50"/>
      <c r="U52" s="50"/>
      <c r="V52" s="50"/>
      <c r="W52" s="50"/>
      <c r="AV52" s="50"/>
      <c r="AW52" s="50"/>
      <c r="AX52" s="50"/>
      <c r="AZ52" s="50"/>
      <c r="BA52" s="50"/>
      <c r="BB52" s="50"/>
      <c r="BC52" s="50"/>
    </row>
    <row r="53" spans="1:55" ht="12.75" customHeight="1">
      <c r="A53" s="22" t="s">
        <v>19</v>
      </c>
      <c r="B53" s="27">
        <f t="shared" ref="B53:K53" si="34">+B54+B55</f>
        <v>0</v>
      </c>
      <c r="C53" s="27">
        <f t="shared" si="34"/>
        <v>15862</v>
      </c>
      <c r="D53" s="27">
        <f t="shared" si="34"/>
        <v>0</v>
      </c>
      <c r="E53" s="27">
        <f t="shared" si="34"/>
        <v>651</v>
      </c>
      <c r="F53" s="27">
        <f t="shared" si="34"/>
        <v>16513</v>
      </c>
      <c r="G53" s="27">
        <f t="shared" si="34"/>
        <v>0</v>
      </c>
      <c r="H53" s="27">
        <f t="shared" si="34"/>
        <v>0</v>
      </c>
      <c r="I53" s="27">
        <f t="shared" si="34"/>
        <v>0</v>
      </c>
      <c r="J53" s="27">
        <f t="shared" si="34"/>
        <v>0</v>
      </c>
      <c r="K53" s="27">
        <f t="shared" si="34"/>
        <v>0</v>
      </c>
      <c r="L53" s="27">
        <f t="shared" ref="L53:P53" si="35">+L54+L55</f>
        <v>0</v>
      </c>
      <c r="M53" s="27">
        <f t="shared" si="35"/>
        <v>15862</v>
      </c>
      <c r="N53" s="27"/>
      <c r="O53" s="27">
        <f t="shared" si="35"/>
        <v>651</v>
      </c>
      <c r="P53" s="28">
        <f t="shared" si="35"/>
        <v>16513</v>
      </c>
      <c r="Q53" s="18"/>
      <c r="T53" s="50"/>
      <c r="U53" s="50"/>
      <c r="V53" s="50"/>
      <c r="W53" s="50"/>
      <c r="AV53" s="50"/>
      <c r="AW53" s="50"/>
      <c r="AX53" s="50"/>
      <c r="AZ53" s="50"/>
      <c r="BA53" s="50"/>
      <c r="BB53" s="50"/>
      <c r="BC53" s="50"/>
    </row>
    <row r="54" spans="1:55" ht="12.75" customHeight="1">
      <c r="A54" s="23" t="s">
        <v>20</v>
      </c>
      <c r="B54" s="29"/>
      <c r="C54" s="29">
        <v>15862</v>
      </c>
      <c r="D54" s="29"/>
      <c r="E54" s="30">
        <v>651</v>
      </c>
      <c r="F54" s="24">
        <f>SUM(B54:E54)</f>
        <v>16513</v>
      </c>
      <c r="G54" s="29"/>
      <c r="H54" s="29"/>
      <c r="I54" s="29"/>
      <c r="J54" s="29"/>
      <c r="K54" s="24">
        <f>SUM(G54:J54)</f>
        <v>0</v>
      </c>
      <c r="L54" s="25">
        <f>+B54-G54</f>
        <v>0</v>
      </c>
      <c r="M54" s="25">
        <f>+C54-H54</f>
        <v>15862</v>
      </c>
      <c r="N54" s="25"/>
      <c r="O54" s="25">
        <f>+E54-J54</f>
        <v>651</v>
      </c>
      <c r="P54" s="26">
        <f>SUM(L54:O54)</f>
        <v>16513</v>
      </c>
      <c r="Q54" s="18"/>
      <c r="T54" s="50"/>
      <c r="U54" s="50"/>
      <c r="V54" s="50"/>
      <c r="W54" s="50"/>
      <c r="AV54" s="50"/>
      <c r="AW54" s="50"/>
      <c r="AX54" s="50"/>
      <c r="AZ54" s="50"/>
      <c r="BA54" s="50"/>
      <c r="BB54" s="50"/>
      <c r="BC54" s="50"/>
    </row>
    <row r="55" spans="1:55" ht="12.75" customHeight="1">
      <c r="A55" s="23" t="s">
        <v>21</v>
      </c>
      <c r="B55" s="29"/>
      <c r="C55" s="29"/>
      <c r="D55" s="29"/>
      <c r="E55" s="30"/>
      <c r="F55" s="24">
        <f>SUM(B55:E55)</f>
        <v>0</v>
      </c>
      <c r="G55" s="29"/>
      <c r="H55" s="29"/>
      <c r="I55" s="29"/>
      <c r="J55" s="29"/>
      <c r="K55" s="24">
        <f>SUM(G55:J55)</f>
        <v>0</v>
      </c>
      <c r="L55" s="25">
        <f>+B55-G55</f>
        <v>0</v>
      </c>
      <c r="M55" s="25">
        <f>+C55-H55</f>
        <v>0</v>
      </c>
      <c r="N55" s="25"/>
      <c r="O55" s="25">
        <f>+E55-J55</f>
        <v>0</v>
      </c>
      <c r="P55" s="26">
        <f>SUM(L55:O55)</f>
        <v>0</v>
      </c>
      <c r="Q55" s="18"/>
      <c r="T55" s="50"/>
      <c r="U55" s="50"/>
      <c r="V55" s="50"/>
      <c r="W55" s="50"/>
      <c r="AV55" s="51"/>
      <c r="AW55" s="51"/>
      <c r="AX55" s="51"/>
      <c r="AZ55" s="50"/>
      <c r="BA55" s="50"/>
      <c r="BB55" s="50"/>
      <c r="BC55" s="50"/>
    </row>
    <row r="56" spans="1:55" ht="12.75" customHeight="1">
      <c r="A56" s="217"/>
      <c r="B56" s="44"/>
      <c r="C56" s="44"/>
      <c r="D56" s="44"/>
      <c r="E56" s="45"/>
      <c r="F56" s="77"/>
      <c r="G56" s="84"/>
      <c r="H56" s="84"/>
      <c r="I56" s="84"/>
      <c r="J56" s="84"/>
      <c r="K56" s="82"/>
      <c r="L56" s="44"/>
      <c r="M56" s="44"/>
      <c r="N56" s="44"/>
      <c r="O56" s="44"/>
      <c r="P56" s="75"/>
      <c r="Q56" s="76"/>
      <c r="T56" s="50"/>
      <c r="U56" s="50"/>
      <c r="V56" s="50"/>
      <c r="W56" s="50"/>
      <c r="AV56" s="51"/>
      <c r="AW56" s="51"/>
      <c r="AX56" s="50"/>
      <c r="AZ56" s="50"/>
      <c r="BA56" s="50"/>
      <c r="BB56" s="50"/>
      <c r="BC56" s="50"/>
    </row>
    <row r="57" spans="1:55" ht="12.75" customHeight="1">
      <c r="A57" s="33" t="s">
        <v>49</v>
      </c>
      <c r="B57" s="17">
        <f t="shared" ref="B57:K57" si="36">+B58+B62</f>
        <v>17129</v>
      </c>
      <c r="C57" s="17">
        <f t="shared" si="36"/>
        <v>49221</v>
      </c>
      <c r="D57" s="17">
        <f t="shared" si="36"/>
        <v>0</v>
      </c>
      <c r="E57" s="17">
        <f t="shared" si="36"/>
        <v>988</v>
      </c>
      <c r="F57" s="17">
        <f t="shared" si="36"/>
        <v>67338</v>
      </c>
      <c r="G57" s="17">
        <f t="shared" si="36"/>
        <v>17120</v>
      </c>
      <c r="H57" s="17">
        <f t="shared" si="36"/>
        <v>46177</v>
      </c>
      <c r="I57" s="17">
        <f t="shared" si="36"/>
        <v>0</v>
      </c>
      <c r="J57" s="17">
        <f t="shared" si="36"/>
        <v>0</v>
      </c>
      <c r="K57" s="17">
        <f t="shared" si="36"/>
        <v>63297</v>
      </c>
      <c r="L57" s="17">
        <f>+L58+L62</f>
        <v>9</v>
      </c>
      <c r="M57" s="17">
        <f>+M58+M62</f>
        <v>3044</v>
      </c>
      <c r="N57" s="17"/>
      <c r="O57" s="17">
        <f>+O58+O62</f>
        <v>988</v>
      </c>
      <c r="P57" s="17">
        <f>+P58+P62</f>
        <v>4041</v>
      </c>
      <c r="Q57" s="18">
        <f>+K57/F57</f>
        <v>0.93998930767174549</v>
      </c>
      <c r="T57" s="50"/>
      <c r="U57" s="50"/>
      <c r="V57" s="50"/>
      <c r="W57" s="50"/>
      <c r="AV57" s="50"/>
      <c r="AW57" s="50"/>
      <c r="AX57" s="50"/>
    </row>
    <row r="58" spans="1:55" ht="12.75" customHeight="1">
      <c r="A58" s="41" t="s">
        <v>15</v>
      </c>
      <c r="B58" s="20">
        <f t="shared" ref="B58:K58" si="37">+B59+B60+B61</f>
        <v>17129</v>
      </c>
      <c r="C58" s="20">
        <f t="shared" si="37"/>
        <v>49221</v>
      </c>
      <c r="D58" s="20">
        <f t="shared" si="37"/>
        <v>0</v>
      </c>
      <c r="E58" s="20">
        <f t="shared" si="37"/>
        <v>988</v>
      </c>
      <c r="F58" s="20">
        <f t="shared" si="37"/>
        <v>67338</v>
      </c>
      <c r="G58" s="20">
        <f t="shared" si="37"/>
        <v>17120</v>
      </c>
      <c r="H58" s="20">
        <f t="shared" si="37"/>
        <v>46177</v>
      </c>
      <c r="I58" s="20">
        <f t="shared" si="37"/>
        <v>0</v>
      </c>
      <c r="J58" s="20">
        <f t="shared" si="37"/>
        <v>0</v>
      </c>
      <c r="K58" s="20">
        <f t="shared" si="37"/>
        <v>63297</v>
      </c>
      <c r="L58" s="20">
        <f>+L59+L60+L61</f>
        <v>9</v>
      </c>
      <c r="M58" s="20">
        <f>+M59+M60+M61</f>
        <v>3044</v>
      </c>
      <c r="N58" s="20"/>
      <c r="O58" s="20">
        <f>+O59+O60+O61</f>
        <v>988</v>
      </c>
      <c r="P58" s="21">
        <f>+P59+P60+P61</f>
        <v>4041</v>
      </c>
      <c r="Q58" s="18"/>
      <c r="T58" s="50"/>
      <c r="U58" s="50"/>
      <c r="V58" s="50"/>
      <c r="W58" s="50"/>
      <c r="AV58" s="50"/>
      <c r="AW58" s="50"/>
      <c r="AX58" s="50"/>
    </row>
    <row r="59" spans="1:55" ht="12.75" customHeight="1">
      <c r="A59" s="22" t="s">
        <v>16</v>
      </c>
      <c r="B59" s="29">
        <v>12979</v>
      </c>
      <c r="C59" s="29">
        <v>49221</v>
      </c>
      <c r="D59" s="29"/>
      <c r="E59" s="30">
        <v>988</v>
      </c>
      <c r="F59" s="24">
        <f>SUM(B59:E59)</f>
        <v>63188</v>
      </c>
      <c r="G59" s="29">
        <f>17120-2800-1350</f>
        <v>12970</v>
      </c>
      <c r="H59" s="29">
        <v>46177</v>
      </c>
      <c r="I59" s="29"/>
      <c r="J59" s="29"/>
      <c r="K59" s="24">
        <f>SUM(G59:J59)</f>
        <v>59147</v>
      </c>
      <c r="L59" s="25">
        <f t="shared" ref="L59:M61" si="38">+B59-G59</f>
        <v>9</v>
      </c>
      <c r="M59" s="25">
        <f t="shared" si="38"/>
        <v>3044</v>
      </c>
      <c r="N59" s="25"/>
      <c r="O59" s="25">
        <f>+E59-J59</f>
        <v>988</v>
      </c>
      <c r="P59" s="26">
        <f>SUM(L59:O59)</f>
        <v>4041</v>
      </c>
      <c r="Q59" s="18"/>
      <c r="T59" s="50"/>
      <c r="U59" s="50"/>
      <c r="V59" s="50"/>
      <c r="W59" s="50"/>
    </row>
    <row r="60" spans="1:55" ht="12.75" customHeight="1">
      <c r="A60" s="22" t="s">
        <v>17</v>
      </c>
      <c r="B60" s="29">
        <v>2800</v>
      </c>
      <c r="C60" s="34"/>
      <c r="D60" s="34"/>
      <c r="E60" s="30"/>
      <c r="F60" s="24">
        <f>SUM(B60:E60)</f>
        <v>2800</v>
      </c>
      <c r="G60" s="29">
        <v>2800</v>
      </c>
      <c r="H60" s="34"/>
      <c r="I60" s="34"/>
      <c r="J60" s="34"/>
      <c r="K60" s="24">
        <f>SUM(G60:J60)</f>
        <v>2800</v>
      </c>
      <c r="L60" s="25">
        <f t="shared" si="38"/>
        <v>0</v>
      </c>
      <c r="M60" s="25">
        <f t="shared" si="38"/>
        <v>0</v>
      </c>
      <c r="N60" s="25"/>
      <c r="O60" s="25">
        <f>+E60-J60</f>
        <v>0</v>
      </c>
      <c r="P60" s="26">
        <f>SUM(L60:O60)</f>
        <v>0</v>
      </c>
      <c r="Q60" s="18"/>
      <c r="T60" s="50"/>
      <c r="U60" s="50"/>
      <c r="V60" s="50"/>
      <c r="W60" s="50"/>
    </row>
    <row r="61" spans="1:55" ht="12.75" customHeight="1">
      <c r="A61" s="22" t="s">
        <v>18</v>
      </c>
      <c r="B61" s="29">
        <v>1350</v>
      </c>
      <c r="C61" s="34"/>
      <c r="D61" s="34"/>
      <c r="E61" s="35"/>
      <c r="F61" s="24">
        <f>SUM(B61:E61)</f>
        <v>1350</v>
      </c>
      <c r="G61" s="29">
        <v>1350</v>
      </c>
      <c r="H61" s="34"/>
      <c r="I61" s="34"/>
      <c r="J61" s="34"/>
      <c r="K61" s="24">
        <f>SUM(G61:J61)</f>
        <v>1350</v>
      </c>
      <c r="L61" s="25">
        <f t="shared" si="38"/>
        <v>0</v>
      </c>
      <c r="M61" s="25">
        <f t="shared" si="38"/>
        <v>0</v>
      </c>
      <c r="N61" s="25"/>
      <c r="O61" s="25">
        <f>+E61-J61</f>
        <v>0</v>
      </c>
      <c r="P61" s="26">
        <f>SUM(L61:O61)</f>
        <v>0</v>
      </c>
      <c r="Q61" s="18"/>
      <c r="T61" s="50"/>
      <c r="U61" s="50"/>
      <c r="V61" s="50"/>
      <c r="W61" s="50"/>
    </row>
    <row r="62" spans="1:55" ht="12.75" customHeight="1">
      <c r="A62" s="22" t="s">
        <v>19</v>
      </c>
      <c r="B62" s="27">
        <f t="shared" ref="B62:K62" si="39">+B63+B64</f>
        <v>0</v>
      </c>
      <c r="C62" s="27">
        <f t="shared" si="39"/>
        <v>0</v>
      </c>
      <c r="D62" s="27">
        <f t="shared" si="39"/>
        <v>0</v>
      </c>
      <c r="E62" s="27">
        <f t="shared" si="39"/>
        <v>0</v>
      </c>
      <c r="F62" s="27">
        <f t="shared" si="39"/>
        <v>0</v>
      </c>
      <c r="G62" s="27">
        <f t="shared" si="39"/>
        <v>0</v>
      </c>
      <c r="H62" s="27">
        <f t="shared" si="39"/>
        <v>0</v>
      </c>
      <c r="I62" s="27">
        <f t="shared" si="39"/>
        <v>0</v>
      </c>
      <c r="J62" s="27">
        <f t="shared" si="39"/>
        <v>0</v>
      </c>
      <c r="K62" s="27">
        <f t="shared" si="39"/>
        <v>0</v>
      </c>
      <c r="L62" s="27">
        <f t="shared" ref="L62:P62" si="40">+L63+L64</f>
        <v>0</v>
      </c>
      <c r="M62" s="27">
        <f t="shared" si="40"/>
        <v>0</v>
      </c>
      <c r="N62" s="27"/>
      <c r="O62" s="27">
        <f t="shared" si="40"/>
        <v>0</v>
      </c>
      <c r="P62" s="28">
        <f t="shared" si="40"/>
        <v>0</v>
      </c>
      <c r="Q62" s="18"/>
      <c r="T62" s="50"/>
      <c r="U62" s="50"/>
      <c r="V62" s="50"/>
      <c r="W62" s="50"/>
    </row>
    <row r="63" spans="1:55" ht="12.75" customHeight="1">
      <c r="A63" s="23" t="s">
        <v>20</v>
      </c>
      <c r="B63" s="29"/>
      <c r="C63" s="29"/>
      <c r="D63" s="29"/>
      <c r="E63" s="30"/>
      <c r="F63" s="24">
        <f>SUM(B63:E63)</f>
        <v>0</v>
      </c>
      <c r="G63" s="29"/>
      <c r="H63" s="29"/>
      <c r="I63" s="29"/>
      <c r="J63" s="29"/>
      <c r="K63" s="24">
        <f>SUM(G63:J63)</f>
        <v>0</v>
      </c>
      <c r="L63" s="25">
        <f>+B63-G63</f>
        <v>0</v>
      </c>
      <c r="M63" s="25">
        <f>+C63-H63</f>
        <v>0</v>
      </c>
      <c r="N63" s="25"/>
      <c r="O63" s="25">
        <f>+E63-J63</f>
        <v>0</v>
      </c>
      <c r="P63" s="26">
        <f>SUM(L63:O63)</f>
        <v>0</v>
      </c>
      <c r="Q63" s="18"/>
      <c r="T63" s="50"/>
      <c r="U63" s="50"/>
      <c r="V63" s="50"/>
      <c r="W63" s="50"/>
    </row>
    <row r="64" spans="1:55" ht="12.75" customHeight="1">
      <c r="A64" s="23" t="s">
        <v>21</v>
      </c>
      <c r="B64" s="29"/>
      <c r="C64" s="29"/>
      <c r="D64" s="29"/>
      <c r="E64" s="30"/>
      <c r="F64" s="24">
        <f>SUM(B64:E64)</f>
        <v>0</v>
      </c>
      <c r="G64" s="29"/>
      <c r="H64" s="29"/>
      <c r="I64" s="29"/>
      <c r="J64" s="29"/>
      <c r="K64" s="24">
        <f>SUM(G64:J64)</f>
        <v>0</v>
      </c>
      <c r="L64" s="25">
        <f>+B64-G64</f>
        <v>0</v>
      </c>
      <c r="M64" s="25">
        <f>+C64-H64</f>
        <v>0</v>
      </c>
      <c r="N64" s="25"/>
      <c r="O64" s="25">
        <f>+E64-J64</f>
        <v>0</v>
      </c>
      <c r="P64" s="26">
        <f>SUM(L64:O64)</f>
        <v>0</v>
      </c>
      <c r="Q64" s="18"/>
    </row>
    <row r="65" spans="1:50" ht="12.75" customHeight="1">
      <c r="A65" s="22"/>
      <c r="B65" s="25"/>
      <c r="C65" s="25"/>
      <c r="D65" s="25"/>
      <c r="E65" s="43"/>
      <c r="F65" s="24"/>
      <c r="G65" s="47"/>
      <c r="H65" s="47"/>
      <c r="I65" s="47"/>
      <c r="J65" s="47"/>
      <c r="K65" s="32"/>
      <c r="L65" s="25"/>
      <c r="M65" s="25"/>
      <c r="N65" s="25"/>
      <c r="O65" s="25"/>
      <c r="P65" s="26"/>
      <c r="Q65" s="18"/>
    </row>
    <row r="66" spans="1:50" ht="12.75" customHeight="1">
      <c r="A66" s="215" t="s">
        <v>50</v>
      </c>
      <c r="B66" s="17">
        <f t="shared" ref="B66:K66" si="41">+B67+B71</f>
        <v>6900</v>
      </c>
      <c r="C66" s="17">
        <f t="shared" si="41"/>
        <v>450403</v>
      </c>
      <c r="D66" s="17">
        <f t="shared" si="41"/>
        <v>0</v>
      </c>
      <c r="E66" s="17">
        <f t="shared" si="41"/>
        <v>0</v>
      </c>
      <c r="F66" s="17">
        <f t="shared" si="41"/>
        <v>457303</v>
      </c>
      <c r="G66" s="17">
        <f t="shared" si="41"/>
        <v>4384.38</v>
      </c>
      <c r="H66" s="17">
        <f t="shared" si="41"/>
        <v>379096.39500000002</v>
      </c>
      <c r="I66" s="17">
        <f t="shared" si="41"/>
        <v>0</v>
      </c>
      <c r="J66" s="17">
        <f t="shared" si="41"/>
        <v>0</v>
      </c>
      <c r="K66" s="17">
        <f t="shared" si="41"/>
        <v>383480.77500000002</v>
      </c>
      <c r="L66" s="17">
        <f>+L67+L71</f>
        <v>2515.62</v>
      </c>
      <c r="M66" s="17">
        <f>+M67+M71</f>
        <v>71306.604999999981</v>
      </c>
      <c r="N66" s="17"/>
      <c r="O66" s="17">
        <f>+O67+O71</f>
        <v>0</v>
      </c>
      <c r="P66" s="17">
        <f>+P67+P71</f>
        <v>73822.224999999977</v>
      </c>
      <c r="Q66" s="18">
        <f>+K66/F66</f>
        <v>0.83857043360747696</v>
      </c>
      <c r="T66" s="50"/>
      <c r="U66" s="50"/>
      <c r="V66" s="50"/>
      <c r="W66" s="50"/>
      <c r="AV66" s="50"/>
      <c r="AW66" s="50"/>
      <c r="AX66" s="50"/>
    </row>
    <row r="67" spans="1:50" ht="12.75" customHeight="1">
      <c r="A67" s="41" t="s">
        <v>15</v>
      </c>
      <c r="B67" s="20">
        <f t="shared" ref="B67:K67" si="42">+B68+B69+B70</f>
        <v>6900</v>
      </c>
      <c r="C67" s="20">
        <f t="shared" si="42"/>
        <v>450403</v>
      </c>
      <c r="D67" s="20">
        <f t="shared" si="42"/>
        <v>0</v>
      </c>
      <c r="E67" s="20">
        <f t="shared" si="42"/>
        <v>0</v>
      </c>
      <c r="F67" s="20">
        <f t="shared" si="42"/>
        <v>457303</v>
      </c>
      <c r="G67" s="20">
        <f t="shared" si="42"/>
        <v>4384.38</v>
      </c>
      <c r="H67" s="20">
        <f t="shared" si="42"/>
        <v>379096.39500000002</v>
      </c>
      <c r="I67" s="20">
        <f t="shared" si="42"/>
        <v>0</v>
      </c>
      <c r="J67" s="20">
        <f t="shared" si="42"/>
        <v>0</v>
      </c>
      <c r="K67" s="20">
        <f t="shared" si="42"/>
        <v>383480.77500000002</v>
      </c>
      <c r="L67" s="20">
        <f>+L68+L69+L70</f>
        <v>2515.62</v>
      </c>
      <c r="M67" s="20">
        <f>+M68+M69+M70</f>
        <v>71306.604999999981</v>
      </c>
      <c r="N67" s="20"/>
      <c r="O67" s="20">
        <f>+O68+O69+O70</f>
        <v>0</v>
      </c>
      <c r="P67" s="21">
        <f>+P68+P69+P70</f>
        <v>73822.224999999977</v>
      </c>
      <c r="Q67" s="18"/>
      <c r="T67" s="50"/>
      <c r="U67" s="50"/>
      <c r="V67" s="50"/>
      <c r="W67" s="50"/>
      <c r="AV67" s="50"/>
      <c r="AW67" s="50"/>
      <c r="AX67" s="50"/>
    </row>
    <row r="68" spans="1:50" ht="12.75" customHeight="1">
      <c r="A68" s="22" t="s">
        <v>16</v>
      </c>
      <c r="B68" s="29"/>
      <c r="C68" s="29"/>
      <c r="D68" s="29"/>
      <c r="E68" s="30"/>
      <c r="F68" s="24">
        <f>SUM(B68:E68)</f>
        <v>0</v>
      </c>
      <c r="G68" s="29"/>
      <c r="H68" s="29"/>
      <c r="I68" s="29"/>
      <c r="J68" s="29"/>
      <c r="K68" s="24">
        <f>SUM(G68:J68)</f>
        <v>0</v>
      </c>
      <c r="L68" s="25">
        <f t="shared" ref="L68:M70" si="43">+B68-G68</f>
        <v>0</v>
      </c>
      <c r="M68" s="25">
        <f t="shared" si="43"/>
        <v>0</v>
      </c>
      <c r="N68" s="25"/>
      <c r="O68" s="25">
        <f>+E68-J68</f>
        <v>0</v>
      </c>
      <c r="P68" s="26">
        <f>SUM(L68:O68)</f>
        <v>0</v>
      </c>
      <c r="Q68" s="18"/>
      <c r="T68" s="50"/>
      <c r="U68" s="50"/>
      <c r="V68" s="50"/>
      <c r="W68" s="50"/>
    </row>
    <row r="69" spans="1:50" ht="12.75" customHeight="1">
      <c r="A69" s="22" t="s">
        <v>17</v>
      </c>
      <c r="B69" s="29"/>
      <c r="C69" s="34"/>
      <c r="D69" s="34"/>
      <c r="E69" s="30"/>
      <c r="F69" s="24">
        <f>SUM(B69:E69)</f>
        <v>0</v>
      </c>
      <c r="G69" s="29"/>
      <c r="H69" s="34"/>
      <c r="I69" s="34"/>
      <c r="J69" s="34"/>
      <c r="K69" s="24">
        <f>SUM(G69:J69)</f>
        <v>0</v>
      </c>
      <c r="L69" s="25">
        <f t="shared" si="43"/>
        <v>0</v>
      </c>
      <c r="M69" s="25">
        <f t="shared" si="43"/>
        <v>0</v>
      </c>
      <c r="N69" s="25"/>
      <c r="O69" s="25">
        <f>+E69-J69</f>
        <v>0</v>
      </c>
      <c r="P69" s="26">
        <f>SUM(L69:O69)</f>
        <v>0</v>
      </c>
      <c r="Q69" s="18"/>
      <c r="T69" s="50"/>
      <c r="U69" s="50"/>
      <c r="V69" s="50"/>
      <c r="W69" s="50"/>
    </row>
    <row r="70" spans="1:50" ht="12.75" customHeight="1">
      <c r="A70" s="22" t="s">
        <v>18</v>
      </c>
      <c r="B70" s="29">
        <v>6900</v>
      </c>
      <c r="C70" s="29">
        <v>450403</v>
      </c>
      <c r="D70" s="29"/>
      <c r="E70" s="30"/>
      <c r="F70" s="24">
        <f>SUM(B70:E70)</f>
        <v>457303</v>
      </c>
      <c r="G70" s="29">
        <v>4384.38</v>
      </c>
      <c r="H70" s="29">
        <v>379096.39500000002</v>
      </c>
      <c r="I70" s="29"/>
      <c r="J70" s="29"/>
      <c r="K70" s="24">
        <f>SUM(G70:J70)</f>
        <v>383480.77500000002</v>
      </c>
      <c r="L70" s="25">
        <f t="shared" si="43"/>
        <v>2515.62</v>
      </c>
      <c r="M70" s="25">
        <f t="shared" si="43"/>
        <v>71306.604999999981</v>
      </c>
      <c r="N70" s="25"/>
      <c r="O70" s="25">
        <f>+E70-J70</f>
        <v>0</v>
      </c>
      <c r="P70" s="26">
        <f>SUM(L70:O70)</f>
        <v>73822.224999999977</v>
      </c>
      <c r="Q70" s="18"/>
      <c r="T70" s="50"/>
      <c r="U70" s="50"/>
      <c r="V70" s="50"/>
      <c r="W70" s="50"/>
    </row>
    <row r="71" spans="1:50" ht="12.75" customHeight="1">
      <c r="A71" s="22" t="s">
        <v>19</v>
      </c>
      <c r="B71" s="27">
        <f t="shared" ref="B71:K71" si="44">+B72+B73</f>
        <v>0</v>
      </c>
      <c r="C71" s="27">
        <f t="shared" si="44"/>
        <v>0</v>
      </c>
      <c r="D71" s="27">
        <f t="shared" si="44"/>
        <v>0</v>
      </c>
      <c r="E71" s="27">
        <f t="shared" si="44"/>
        <v>0</v>
      </c>
      <c r="F71" s="27">
        <f t="shared" si="44"/>
        <v>0</v>
      </c>
      <c r="G71" s="27">
        <f t="shared" si="44"/>
        <v>0</v>
      </c>
      <c r="H71" s="27">
        <f t="shared" si="44"/>
        <v>0</v>
      </c>
      <c r="I71" s="27">
        <f t="shared" si="44"/>
        <v>0</v>
      </c>
      <c r="J71" s="27">
        <f t="shared" si="44"/>
        <v>0</v>
      </c>
      <c r="K71" s="27">
        <f t="shared" si="44"/>
        <v>0</v>
      </c>
      <c r="L71" s="27">
        <f t="shared" ref="L71:P71" si="45">+L72+L73</f>
        <v>0</v>
      </c>
      <c r="M71" s="27">
        <f t="shared" si="45"/>
        <v>0</v>
      </c>
      <c r="N71" s="27"/>
      <c r="O71" s="27">
        <f t="shared" si="45"/>
        <v>0</v>
      </c>
      <c r="P71" s="28">
        <f t="shared" si="45"/>
        <v>0</v>
      </c>
      <c r="Q71" s="18"/>
      <c r="T71" s="50"/>
      <c r="U71" s="50"/>
      <c r="V71" s="50"/>
      <c r="W71" s="50"/>
    </row>
    <row r="72" spans="1:50" ht="12.75" customHeight="1">
      <c r="A72" s="23" t="s">
        <v>20</v>
      </c>
      <c r="B72" s="29"/>
      <c r="C72" s="29"/>
      <c r="D72" s="29"/>
      <c r="E72" s="30"/>
      <c r="F72" s="24">
        <f>SUM(B72:E72)</f>
        <v>0</v>
      </c>
      <c r="G72" s="29"/>
      <c r="H72" s="29"/>
      <c r="I72" s="29"/>
      <c r="J72" s="29"/>
      <c r="K72" s="24">
        <f>SUM(G72:J72)</f>
        <v>0</v>
      </c>
      <c r="L72" s="25">
        <f>+B72-G72</f>
        <v>0</v>
      </c>
      <c r="M72" s="25">
        <f>+C72-H72</f>
        <v>0</v>
      </c>
      <c r="N72" s="25"/>
      <c r="O72" s="25">
        <f>+E72-J72</f>
        <v>0</v>
      </c>
      <c r="P72" s="26">
        <f>SUM(L72:O72)</f>
        <v>0</v>
      </c>
      <c r="Q72" s="18"/>
      <c r="T72" s="50"/>
      <c r="U72" s="50"/>
      <c r="V72" s="50"/>
      <c r="W72" s="50"/>
    </row>
    <row r="73" spans="1:50" ht="12.75" customHeight="1">
      <c r="A73" s="23" t="s">
        <v>21</v>
      </c>
      <c r="B73" s="29"/>
      <c r="C73" s="29"/>
      <c r="D73" s="29"/>
      <c r="E73" s="30"/>
      <c r="F73" s="24">
        <f>SUM(B73:E73)</f>
        <v>0</v>
      </c>
      <c r="G73" s="29"/>
      <c r="H73" s="29"/>
      <c r="I73" s="29"/>
      <c r="J73" s="29"/>
      <c r="K73" s="24">
        <f>SUM(G73:J73)</f>
        <v>0</v>
      </c>
      <c r="L73" s="25">
        <f>+B73-G73</f>
        <v>0</v>
      </c>
      <c r="M73" s="25">
        <f>+C73-H73</f>
        <v>0</v>
      </c>
      <c r="N73" s="25"/>
      <c r="O73" s="25">
        <f>+E73-J73</f>
        <v>0</v>
      </c>
      <c r="P73" s="26">
        <f>SUM(L73:O73)</f>
        <v>0</v>
      </c>
      <c r="Q73" s="18"/>
    </row>
    <row r="74" spans="1:50" ht="12.75" customHeight="1">
      <c r="A74" s="67"/>
      <c r="B74" s="44"/>
      <c r="C74" s="44"/>
      <c r="D74" s="44"/>
      <c r="E74" s="45"/>
      <c r="F74" s="77"/>
      <c r="G74" s="84"/>
      <c r="H74" s="84"/>
      <c r="I74" s="84"/>
      <c r="J74" s="84"/>
      <c r="K74" s="82"/>
      <c r="L74" s="44"/>
      <c r="M74" s="44"/>
      <c r="N74" s="44"/>
      <c r="O74" s="44"/>
      <c r="P74" s="75"/>
      <c r="Q74" s="76"/>
    </row>
    <row r="75" spans="1:50">
      <c r="A75" s="80"/>
    </row>
    <row r="76" spans="1:50">
      <c r="A76" s="80"/>
    </row>
    <row r="77" spans="1:50">
      <c r="A77" s="80"/>
    </row>
    <row r="78" spans="1:50">
      <c r="A78" s="80"/>
    </row>
    <row r="79" spans="1:50">
      <c r="A79" s="80"/>
    </row>
    <row r="80" spans="1:50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  <row r="1058" spans="1:1">
      <c r="A1058" s="80"/>
    </row>
    <row r="1059" spans="1:1">
      <c r="A1059" s="80"/>
    </row>
    <row r="1060" spans="1:1">
      <c r="A1060" s="80"/>
    </row>
    <row r="1061" spans="1:1">
      <c r="A1061" s="80"/>
    </row>
    <row r="1062" spans="1:1">
      <c r="A1062" s="80"/>
    </row>
    <row r="1063" spans="1:1">
      <c r="A1063" s="80"/>
    </row>
    <row r="1064" spans="1:1">
      <c r="A1064" s="80"/>
    </row>
    <row r="1065" spans="1:1">
      <c r="A1065" s="80"/>
    </row>
    <row r="1066" spans="1:1">
      <c r="A1066" s="80"/>
    </row>
    <row r="1067" spans="1:1">
      <c r="A1067" s="80"/>
    </row>
    <row r="1068" spans="1:1">
      <c r="A1068" s="80"/>
    </row>
    <row r="1069" spans="1:1">
      <c r="A1069" s="80"/>
    </row>
    <row r="1070" spans="1:1">
      <c r="A1070" s="80"/>
    </row>
    <row r="1071" spans="1:1">
      <c r="A1071" s="80"/>
    </row>
    <row r="1072" spans="1:1">
      <c r="A1072" s="80"/>
    </row>
    <row r="1073" spans="1:1">
      <c r="A1073" s="80"/>
    </row>
    <row r="1074" spans="1:1">
      <c r="A1074" s="80"/>
    </row>
    <row r="1075" spans="1:1">
      <c r="A1075" s="80"/>
    </row>
    <row r="1076" spans="1:1">
      <c r="A1076" s="80"/>
    </row>
    <row r="1077" spans="1:1">
      <c r="A1077" s="80"/>
    </row>
    <row r="1078" spans="1:1">
      <c r="A1078" s="80"/>
    </row>
    <row r="1079" spans="1:1">
      <c r="A1079" s="80"/>
    </row>
    <row r="1080" spans="1:1">
      <c r="A1080" s="80"/>
    </row>
    <row r="1081" spans="1:1">
      <c r="A1081" s="80"/>
    </row>
    <row r="1082" spans="1:1">
      <c r="A1082" s="80"/>
    </row>
    <row r="1083" spans="1:1">
      <c r="A1083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1" fitToHeight="15" orientation="landscape" r:id="rId1"/>
  <headerFooter alignWithMargins="0">
    <oddFooter>Page &amp;P of &amp;N</oddFooter>
  </headerFooter>
  <rowBreaks count="1" manualBreakCount="1">
    <brk id="5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918"/>
  <sheetViews>
    <sheetView showRuler="0" zoomScaleSheetLayoutView="100" workbookViewId="0">
      <pane xSplit="1" ySplit="8" topLeftCell="B9" activePane="bottomRight" state="frozen"/>
      <selection activeCell="A1459" sqref="A1459"/>
      <selection pane="topRight" activeCell="A1459" sqref="A1459"/>
      <selection pane="bottomLeft" activeCell="A1459" sqref="A1459"/>
      <selection pane="bottomRight" activeCell="C32" sqref="C32"/>
    </sheetView>
  </sheetViews>
  <sheetFormatPr defaultRowHeight="12.75"/>
  <cols>
    <col min="1" max="1" width="30.42578125" style="81" customWidth="1"/>
    <col min="2" max="2" width="13.42578125" style="5" bestFit="1" customWidth="1"/>
    <col min="3" max="3" width="12" style="5" bestFit="1" customWidth="1"/>
    <col min="4" max="4" width="8.5703125" style="5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8.7109375" style="5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2" t="s">
        <v>52</v>
      </c>
      <c r="B10" s="17">
        <f t="shared" ref="B10:K10" si="0">+B11+B15</f>
        <v>357771</v>
      </c>
      <c r="C10" s="17">
        <f t="shared" si="0"/>
        <v>1188435</v>
      </c>
      <c r="D10" s="17">
        <f t="shared" si="0"/>
        <v>93120</v>
      </c>
      <c r="E10" s="17">
        <f t="shared" si="0"/>
        <v>2486065</v>
      </c>
      <c r="F10" s="17">
        <f t="shared" si="0"/>
        <v>4125391</v>
      </c>
      <c r="G10" s="17">
        <f t="shared" si="0"/>
        <v>355494</v>
      </c>
      <c r="H10" s="17">
        <f t="shared" si="0"/>
        <v>530930</v>
      </c>
      <c r="I10" s="17">
        <f t="shared" si="0"/>
        <v>0</v>
      </c>
      <c r="J10" s="17">
        <f t="shared" si="0"/>
        <v>20148</v>
      </c>
      <c r="K10" s="17">
        <f t="shared" si="0"/>
        <v>906572</v>
      </c>
      <c r="L10" s="17">
        <f>+L11+L15</f>
        <v>2277</v>
      </c>
      <c r="M10" s="17">
        <f>+M11+M15</f>
        <v>657505</v>
      </c>
      <c r="N10" s="17">
        <f>+N11+N15</f>
        <v>93120</v>
      </c>
      <c r="O10" s="17">
        <f>+O11+O15</f>
        <v>2465917</v>
      </c>
      <c r="P10" s="17">
        <f>+P11+P15</f>
        <v>3218819</v>
      </c>
      <c r="Q10" s="18">
        <f>+K10/F10</f>
        <v>0.21975420026853212</v>
      </c>
    </row>
    <row r="11" spans="1:18" ht="12.75" customHeight="1">
      <c r="A11" s="41" t="s">
        <v>15</v>
      </c>
      <c r="B11" s="20">
        <f t="shared" ref="B11:K11" si="1">+B12+B13+B14</f>
        <v>357771</v>
      </c>
      <c r="C11" s="20">
        <f t="shared" si="1"/>
        <v>1188282</v>
      </c>
      <c r="D11" s="20">
        <f t="shared" si="1"/>
        <v>93120</v>
      </c>
      <c r="E11" s="20">
        <f t="shared" si="1"/>
        <v>2465110</v>
      </c>
      <c r="F11" s="20">
        <f t="shared" si="1"/>
        <v>4104283</v>
      </c>
      <c r="G11" s="20">
        <f t="shared" si="1"/>
        <v>355494</v>
      </c>
      <c r="H11" s="20">
        <f t="shared" si="1"/>
        <v>530930</v>
      </c>
      <c r="I11" s="20">
        <f t="shared" si="1"/>
        <v>0</v>
      </c>
      <c r="J11" s="20">
        <f t="shared" si="1"/>
        <v>20148</v>
      </c>
      <c r="K11" s="20">
        <f t="shared" si="1"/>
        <v>906572</v>
      </c>
      <c r="L11" s="20">
        <f t="shared" ref="L11:P11" si="2">+L12+L13+L14</f>
        <v>2277</v>
      </c>
      <c r="M11" s="20">
        <f t="shared" si="2"/>
        <v>657352</v>
      </c>
      <c r="N11" s="20">
        <f t="shared" si="2"/>
        <v>93120</v>
      </c>
      <c r="O11" s="20">
        <f t="shared" si="2"/>
        <v>2444962</v>
      </c>
      <c r="P11" s="21">
        <f t="shared" si="2"/>
        <v>3197711</v>
      </c>
      <c r="Q11" s="18"/>
    </row>
    <row r="12" spans="1:18" ht="12.75" customHeight="1">
      <c r="A12" s="22" t="s">
        <v>16</v>
      </c>
      <c r="B12" s="25">
        <v>316855</v>
      </c>
      <c r="C12" s="25">
        <v>428581</v>
      </c>
      <c r="D12" s="25">
        <v>93120</v>
      </c>
      <c r="E12" s="43">
        <v>2460820</v>
      </c>
      <c r="F12" s="24">
        <f>SUM(B12:E12)</f>
        <v>3299376</v>
      </c>
      <c r="G12" s="29">
        <v>315330</v>
      </c>
      <c r="H12" s="29">
        <f>296680</f>
        <v>296680</v>
      </c>
      <c r="I12" s="29"/>
      <c r="J12" s="29">
        <f>11629+1000+2660+600</f>
        <v>15889</v>
      </c>
      <c r="K12" s="24">
        <f>SUM(G12:J12)</f>
        <v>627899</v>
      </c>
      <c r="L12" s="25">
        <f>+B12-G12</f>
        <v>1525</v>
      </c>
      <c r="M12" s="25">
        <f t="shared" ref="M12:O14" si="3">+C12-H12</f>
        <v>131901</v>
      </c>
      <c r="N12" s="25">
        <f t="shared" si="3"/>
        <v>93120</v>
      </c>
      <c r="O12" s="25">
        <f t="shared" si="3"/>
        <v>2444931</v>
      </c>
      <c r="P12" s="26">
        <f>SUM(L12:O12)</f>
        <v>2671477</v>
      </c>
      <c r="Q12" s="18"/>
    </row>
    <row r="13" spans="1:18" ht="12.75" customHeight="1">
      <c r="A13" s="22" t="s">
        <v>17</v>
      </c>
      <c r="B13" s="25">
        <v>12316</v>
      </c>
      <c r="C13" s="25"/>
      <c r="D13" s="25"/>
      <c r="E13" s="43"/>
      <c r="F13" s="24">
        <f>SUM(B13:E13)</f>
        <v>12316</v>
      </c>
      <c r="G13" s="29">
        <v>12217</v>
      </c>
      <c r="H13" s="34"/>
      <c r="I13" s="34"/>
      <c r="J13" s="29"/>
      <c r="K13" s="24">
        <f>SUM(G13:J13)</f>
        <v>12217</v>
      </c>
      <c r="L13" s="25">
        <f t="shared" ref="L13:L14" si="4">+B13-G13</f>
        <v>99</v>
      </c>
      <c r="M13" s="25">
        <f t="shared" si="3"/>
        <v>0</v>
      </c>
      <c r="N13" s="25">
        <f t="shared" si="3"/>
        <v>0</v>
      </c>
      <c r="O13" s="25">
        <f t="shared" si="3"/>
        <v>0</v>
      </c>
      <c r="P13" s="26">
        <f>SUM(L13:O13)</f>
        <v>99</v>
      </c>
      <c r="Q13" s="18"/>
    </row>
    <row r="14" spans="1:18" ht="12.75" customHeight="1">
      <c r="A14" s="22" t="s">
        <v>18</v>
      </c>
      <c r="B14" s="25">
        <v>28600</v>
      </c>
      <c r="C14" s="25">
        <v>759701</v>
      </c>
      <c r="D14" s="25"/>
      <c r="E14" s="43">
        <v>4290</v>
      </c>
      <c r="F14" s="24">
        <f>SUM(B14:E14)</f>
        <v>792591</v>
      </c>
      <c r="G14" s="29">
        <v>27947</v>
      </c>
      <c r="H14" s="29">
        <f>234250</f>
        <v>234250</v>
      </c>
      <c r="I14" s="29"/>
      <c r="J14" s="29">
        <v>4259</v>
      </c>
      <c r="K14" s="24">
        <f>SUM(G14:J14)</f>
        <v>266456</v>
      </c>
      <c r="L14" s="25">
        <f t="shared" si="4"/>
        <v>653</v>
      </c>
      <c r="M14" s="25">
        <f t="shared" si="3"/>
        <v>525451</v>
      </c>
      <c r="N14" s="25">
        <f t="shared" si="3"/>
        <v>0</v>
      </c>
      <c r="O14" s="25">
        <f t="shared" si="3"/>
        <v>31</v>
      </c>
      <c r="P14" s="26">
        <f>SUM(L14:O14)</f>
        <v>526135</v>
      </c>
      <c r="Q14" s="18"/>
    </row>
    <row r="15" spans="1:18" ht="12.75" customHeight="1">
      <c r="A15" s="22" t="s">
        <v>19</v>
      </c>
      <c r="B15" s="44">
        <f t="shared" ref="B15:K15" si="5">+B16+B17</f>
        <v>0</v>
      </c>
      <c r="C15" s="44">
        <f t="shared" si="5"/>
        <v>153</v>
      </c>
      <c r="D15" s="44">
        <f t="shared" si="5"/>
        <v>0</v>
      </c>
      <c r="E15" s="44">
        <f t="shared" si="5"/>
        <v>20955</v>
      </c>
      <c r="F15" s="44">
        <f t="shared" si="5"/>
        <v>21108</v>
      </c>
      <c r="G15" s="44">
        <f t="shared" si="5"/>
        <v>0</v>
      </c>
      <c r="H15" s="44">
        <f t="shared" si="5"/>
        <v>0</v>
      </c>
      <c r="I15" s="44">
        <f t="shared" si="5"/>
        <v>0</v>
      </c>
      <c r="J15" s="44">
        <f t="shared" si="5"/>
        <v>0</v>
      </c>
      <c r="K15" s="44">
        <f t="shared" si="5"/>
        <v>0</v>
      </c>
      <c r="L15" s="44">
        <f t="shared" ref="L15:P15" si="6">+L16+L17</f>
        <v>0</v>
      </c>
      <c r="M15" s="44">
        <f t="shared" si="6"/>
        <v>153</v>
      </c>
      <c r="N15" s="44">
        <f t="shared" si="6"/>
        <v>0</v>
      </c>
      <c r="O15" s="44">
        <f t="shared" si="6"/>
        <v>20955</v>
      </c>
      <c r="P15" s="45">
        <f t="shared" si="6"/>
        <v>21108</v>
      </c>
      <c r="Q15" s="18"/>
    </row>
    <row r="16" spans="1:18" ht="12.75" customHeight="1">
      <c r="A16" s="23" t="s">
        <v>20</v>
      </c>
      <c r="B16" s="25"/>
      <c r="C16" s="25">
        <v>153</v>
      </c>
      <c r="D16" s="25"/>
      <c r="E16" s="43">
        <v>20955</v>
      </c>
      <c r="F16" s="24">
        <f>SUM(B16:E16)</f>
        <v>21108</v>
      </c>
      <c r="G16" s="29"/>
      <c r="H16" s="29"/>
      <c r="I16" s="29"/>
      <c r="J16" s="29"/>
      <c r="K16" s="24">
        <f>SUM(G16:J16)</f>
        <v>0</v>
      </c>
      <c r="L16" s="25">
        <f>+B16-G16</f>
        <v>0</v>
      </c>
      <c r="M16" s="25">
        <f>+C16-H16</f>
        <v>153</v>
      </c>
      <c r="N16" s="25"/>
      <c r="O16" s="25">
        <f>+E16-J16</f>
        <v>20955</v>
      </c>
      <c r="P16" s="26">
        <f>SUM(L16:O16)</f>
        <v>21108</v>
      </c>
      <c r="Q16" s="18"/>
    </row>
    <row r="17" spans="1:17" ht="12.75" customHeight="1">
      <c r="A17" s="23" t="s">
        <v>21</v>
      </c>
      <c r="B17" s="25"/>
      <c r="C17" s="25"/>
      <c r="D17" s="25"/>
      <c r="E17" s="43"/>
      <c r="F17" s="24">
        <f>SUM(B17:E17)</f>
        <v>0</v>
      </c>
      <c r="G17" s="29"/>
      <c r="H17" s="29"/>
      <c r="I17" s="29"/>
      <c r="J17" s="29"/>
      <c r="K17" s="24">
        <f>SUM(G17:J17)</f>
        <v>0</v>
      </c>
      <c r="L17" s="25">
        <f>+B17-G17</f>
        <v>0</v>
      </c>
      <c r="M17" s="25">
        <f>+C17-H17</f>
        <v>0</v>
      </c>
      <c r="N17" s="25"/>
      <c r="O17" s="25">
        <f>+E17-J17</f>
        <v>0</v>
      </c>
      <c r="P17" s="26">
        <f>SUM(L17:O17)</f>
        <v>0</v>
      </c>
      <c r="Q17" s="18"/>
    </row>
    <row r="18" spans="1:17" ht="12.75" customHeight="1">
      <c r="A18" s="83"/>
      <c r="B18" s="77"/>
      <c r="C18" s="77"/>
      <c r="D18" s="77"/>
      <c r="E18" s="75"/>
      <c r="F18" s="77"/>
      <c r="G18" s="82"/>
      <c r="H18" s="82"/>
      <c r="I18" s="82"/>
      <c r="J18" s="82"/>
      <c r="K18" s="82"/>
      <c r="L18" s="77"/>
      <c r="M18" s="77"/>
      <c r="N18" s="77"/>
      <c r="O18" s="77"/>
      <c r="P18" s="75"/>
      <c r="Q18" s="76"/>
    </row>
    <row r="19" spans="1:17">
      <c r="A19" s="80"/>
    </row>
    <row r="20" spans="1:17">
      <c r="A20" s="80"/>
    </row>
    <row r="21" spans="1:17">
      <c r="A21" s="80"/>
    </row>
    <row r="22" spans="1:17">
      <c r="A22" s="80"/>
    </row>
    <row r="23" spans="1:17">
      <c r="A23" s="80"/>
    </row>
    <row r="24" spans="1:17">
      <c r="A24" s="80"/>
    </row>
    <row r="25" spans="1:17">
      <c r="A25" s="80"/>
    </row>
    <row r="26" spans="1:17">
      <c r="A26" s="80"/>
    </row>
    <row r="27" spans="1:17">
      <c r="A27" s="80"/>
    </row>
    <row r="28" spans="1:17">
      <c r="A28" s="80"/>
    </row>
    <row r="29" spans="1:17">
      <c r="A29" s="80"/>
    </row>
    <row r="30" spans="1:17">
      <c r="A30" s="80"/>
    </row>
    <row r="31" spans="1:17">
      <c r="A31" s="80"/>
    </row>
    <row r="32" spans="1:17">
      <c r="A32" s="80"/>
    </row>
    <row r="33" spans="1:1">
      <c r="A33" s="80"/>
    </row>
    <row r="34" spans="1:1">
      <c r="A34" s="80"/>
    </row>
    <row r="35" spans="1:1">
      <c r="A35" s="80"/>
    </row>
    <row r="36" spans="1:1">
      <c r="A36" s="80"/>
    </row>
    <row r="37" spans="1:1">
      <c r="A37" s="80"/>
    </row>
    <row r="38" spans="1:1">
      <c r="A38" s="80"/>
    </row>
    <row r="39" spans="1:1">
      <c r="A39" s="80"/>
    </row>
    <row r="40" spans="1:1">
      <c r="A40" s="80"/>
    </row>
    <row r="41" spans="1:1">
      <c r="A41" s="80"/>
    </row>
    <row r="42" spans="1:1">
      <c r="A42" s="80"/>
    </row>
    <row r="43" spans="1:1">
      <c r="A43" s="80"/>
    </row>
    <row r="44" spans="1:1">
      <c r="A44" s="80"/>
    </row>
    <row r="45" spans="1:1">
      <c r="A45" s="80"/>
    </row>
    <row r="46" spans="1:1">
      <c r="A46" s="80"/>
    </row>
    <row r="47" spans="1:1">
      <c r="A47" s="80"/>
    </row>
    <row r="48" spans="1:1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  <row r="61" spans="1:1">
      <c r="A61" s="80"/>
    </row>
    <row r="62" spans="1:1">
      <c r="A62" s="80"/>
    </row>
    <row r="63" spans="1:1">
      <c r="A63" s="80"/>
    </row>
    <row r="64" spans="1:1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" top="0.41" bottom="0.1" header="0.17" footer="0.32"/>
  <pageSetup paperSize="9" scale="71" fitToWidth="0" fitToHeight="0" orientation="landscape" r:id="rId1"/>
  <headerFooter alignWithMargins="0"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057"/>
  <sheetViews>
    <sheetView showRuler="0" zoomScaleSheetLayoutView="100" workbookViewId="0">
      <pane xSplit="1" ySplit="8" topLeftCell="B48" activePane="bottomRight" state="frozen"/>
      <selection activeCell="A1459" sqref="A1459"/>
      <selection pane="topRight" activeCell="A1459" sqref="A1459"/>
      <selection pane="bottomLeft" activeCell="A1459" sqref="A1459"/>
      <selection pane="bottomRight" activeCell="C65" sqref="C65"/>
    </sheetView>
  </sheetViews>
  <sheetFormatPr defaultRowHeight="12.75"/>
  <cols>
    <col min="1" max="1" width="37.28515625" style="81" customWidth="1"/>
    <col min="2" max="2" width="13.42578125" style="5" bestFit="1" customWidth="1"/>
    <col min="3" max="3" width="12" style="5" bestFit="1" customWidth="1"/>
    <col min="4" max="4" width="6.85546875" style="5" bestFit="1" customWidth="1"/>
    <col min="5" max="5" width="10.7109375" style="5" customWidth="1"/>
    <col min="6" max="6" width="12.140625" style="5" customWidth="1"/>
    <col min="7" max="8" width="10.5703125" style="49" customWidth="1"/>
    <col min="9" max="9" width="6.85546875" style="49" bestFit="1" customWidth="1"/>
    <col min="10" max="10" width="10.5703125" style="49" customWidth="1"/>
    <col min="11" max="11" width="11.7109375" style="49" bestFit="1" customWidth="1"/>
    <col min="12" max="12" width="13" style="5" customWidth="1"/>
    <col min="13" max="13" width="11.28515625" style="5" customWidth="1"/>
    <col min="14" max="14" width="6.85546875" style="5" bestFit="1" customWidth="1"/>
    <col min="15" max="15" width="10.7109375" style="5" customWidth="1"/>
    <col min="16" max="16" width="11.7109375" style="5" customWidth="1"/>
    <col min="17" max="17" width="9.28515625" style="5" customWidth="1"/>
    <col min="18" max="18" width="10.5703125" style="5" customWidth="1"/>
    <col min="19" max="19" width="9.140625" style="5"/>
    <col min="20" max="20" width="10.85546875" style="5" bestFit="1" customWidth="1"/>
    <col min="21" max="21" width="9.28515625" style="5" bestFit="1" customWidth="1"/>
    <col min="22" max="22" width="9.140625" style="5"/>
    <col min="23" max="23" width="10.7109375" style="5" bestFit="1" customWidth="1"/>
    <col min="24" max="58" width="9.140625" style="5"/>
    <col min="59" max="59" width="11.140625" style="5" bestFit="1" customWidth="1"/>
    <col min="60" max="16384" width="9.140625" style="5"/>
  </cols>
  <sheetData>
    <row r="1" spans="1:18" ht="15.75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3"/>
      <c r="J1" s="3"/>
      <c r="K1" s="3"/>
      <c r="L1" s="2"/>
      <c r="M1" s="2" t="s">
        <v>2</v>
      </c>
      <c r="N1" s="2"/>
      <c r="O1" s="2"/>
      <c r="P1" s="4"/>
      <c r="Q1" s="2"/>
      <c r="R1" s="2"/>
    </row>
    <row r="2" spans="1:18">
      <c r="A2" s="1" t="s">
        <v>353</v>
      </c>
      <c r="B2" s="2"/>
      <c r="C2" s="2"/>
      <c r="D2" s="2"/>
      <c r="E2" s="2"/>
      <c r="F2" s="2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>
      <c r="A3" s="1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4.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6" customHeight="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2.75" customHeight="1">
      <c r="A6" s="244" t="s">
        <v>4</v>
      </c>
      <c r="B6" s="247" t="s">
        <v>5</v>
      </c>
      <c r="C6" s="248"/>
      <c r="D6" s="248"/>
      <c r="E6" s="248"/>
      <c r="F6" s="248"/>
      <c r="G6" s="247" t="s">
        <v>6</v>
      </c>
      <c r="H6" s="248"/>
      <c r="I6" s="248"/>
      <c r="J6" s="248"/>
      <c r="K6" s="251"/>
      <c r="L6" s="248" t="s">
        <v>7</v>
      </c>
      <c r="M6" s="248"/>
      <c r="N6" s="248"/>
      <c r="O6" s="248"/>
      <c r="P6" s="251"/>
      <c r="Q6" s="253" t="s">
        <v>8</v>
      </c>
    </row>
    <row r="7" spans="1:18" ht="12.75" customHeight="1">
      <c r="A7" s="245"/>
      <c r="B7" s="249"/>
      <c r="C7" s="250"/>
      <c r="D7" s="250"/>
      <c r="E7" s="250"/>
      <c r="F7" s="250"/>
      <c r="G7" s="249"/>
      <c r="H7" s="250"/>
      <c r="I7" s="250"/>
      <c r="J7" s="250"/>
      <c r="K7" s="252"/>
      <c r="L7" s="250"/>
      <c r="M7" s="250"/>
      <c r="N7" s="250"/>
      <c r="O7" s="250"/>
      <c r="P7" s="252"/>
      <c r="Q7" s="254"/>
    </row>
    <row r="8" spans="1:18" ht="12.75" customHeight="1">
      <c r="A8" s="246"/>
      <c r="B8" s="6" t="s">
        <v>9</v>
      </c>
      <c r="C8" s="6" t="s">
        <v>10</v>
      </c>
      <c r="D8" s="7" t="s">
        <v>11</v>
      </c>
      <c r="E8" s="6" t="s">
        <v>12</v>
      </c>
      <c r="F8" s="6" t="s">
        <v>13</v>
      </c>
      <c r="G8" s="6" t="s">
        <v>9</v>
      </c>
      <c r="H8" s="6" t="s">
        <v>10</v>
      </c>
      <c r="I8" s="7" t="s">
        <v>11</v>
      </c>
      <c r="J8" s="6" t="s">
        <v>12</v>
      </c>
      <c r="K8" s="6" t="s">
        <v>13</v>
      </c>
      <c r="L8" s="6" t="s">
        <v>9</v>
      </c>
      <c r="M8" s="6" t="s">
        <v>10</v>
      </c>
      <c r="N8" s="7" t="s">
        <v>11</v>
      </c>
      <c r="O8" s="8" t="s">
        <v>12</v>
      </c>
      <c r="P8" s="6" t="s">
        <v>13</v>
      </c>
      <c r="Q8" s="255"/>
    </row>
    <row r="9" spans="1:18" ht="18" customHeight="1">
      <c r="A9" s="9"/>
      <c r="B9" s="10"/>
      <c r="C9" s="11"/>
      <c r="D9" s="11"/>
      <c r="E9" s="11"/>
      <c r="F9" s="11"/>
      <c r="G9" s="12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8" ht="12.75" customHeight="1">
      <c r="A10" s="41" t="s">
        <v>53</v>
      </c>
      <c r="B10" s="17">
        <f t="shared" ref="B10:P10" si="0">+B11+B15</f>
        <v>7821009</v>
      </c>
      <c r="C10" s="17">
        <f t="shared" si="0"/>
        <v>10875348</v>
      </c>
      <c r="D10" s="17"/>
      <c r="E10" s="17">
        <f t="shared" si="0"/>
        <v>8262453</v>
      </c>
      <c r="F10" s="17">
        <f t="shared" si="0"/>
        <v>26958810</v>
      </c>
      <c r="G10" s="17">
        <f t="shared" si="0"/>
        <v>7800775</v>
      </c>
      <c r="H10" s="17">
        <f t="shared" si="0"/>
        <v>8724082</v>
      </c>
      <c r="I10" s="17"/>
      <c r="J10" s="17">
        <f t="shared" si="0"/>
        <v>7205485</v>
      </c>
      <c r="K10" s="17">
        <f t="shared" si="0"/>
        <v>23730342</v>
      </c>
      <c r="L10" s="17">
        <f t="shared" si="0"/>
        <v>20234</v>
      </c>
      <c r="M10" s="17">
        <f t="shared" si="0"/>
        <v>2151266</v>
      </c>
      <c r="N10" s="17"/>
      <c r="O10" s="17">
        <f t="shared" si="0"/>
        <v>1056968</v>
      </c>
      <c r="P10" s="17">
        <f t="shared" si="0"/>
        <v>3228468</v>
      </c>
      <c r="Q10" s="18">
        <f>+K10/F10</f>
        <v>0.88024441731663972</v>
      </c>
    </row>
    <row r="11" spans="1:18" ht="12.75" customHeight="1">
      <c r="A11" s="41" t="s">
        <v>15</v>
      </c>
      <c r="B11" s="20">
        <f t="shared" ref="B11:P11" si="1">+B12+B13+B14</f>
        <v>7821009</v>
      </c>
      <c r="C11" s="20">
        <f t="shared" si="1"/>
        <v>9458114</v>
      </c>
      <c r="D11" s="20"/>
      <c r="E11" s="20">
        <f t="shared" si="1"/>
        <v>7745147</v>
      </c>
      <c r="F11" s="20">
        <f t="shared" si="1"/>
        <v>25024270</v>
      </c>
      <c r="G11" s="20">
        <f t="shared" si="1"/>
        <v>7800775</v>
      </c>
      <c r="H11" s="20">
        <f t="shared" si="1"/>
        <v>7707631</v>
      </c>
      <c r="I11" s="20"/>
      <c r="J11" s="20">
        <f t="shared" si="1"/>
        <v>6793347</v>
      </c>
      <c r="K11" s="20">
        <f t="shared" si="1"/>
        <v>22301753</v>
      </c>
      <c r="L11" s="20">
        <f t="shared" si="1"/>
        <v>20234</v>
      </c>
      <c r="M11" s="20">
        <f t="shared" si="1"/>
        <v>1750483</v>
      </c>
      <c r="N11" s="20"/>
      <c r="O11" s="20">
        <f t="shared" si="1"/>
        <v>951800</v>
      </c>
      <c r="P11" s="21">
        <f t="shared" si="1"/>
        <v>2722517</v>
      </c>
      <c r="Q11" s="18"/>
    </row>
    <row r="12" spans="1:18" ht="12.75" customHeight="1">
      <c r="A12" s="22" t="s">
        <v>16</v>
      </c>
      <c r="B12" s="23">
        <f t="shared" ref="B12:E14" si="2">+B21+B30+B39+B48+B57+B66</f>
        <v>4502141</v>
      </c>
      <c r="C12" s="23">
        <f t="shared" si="2"/>
        <v>9245708</v>
      </c>
      <c r="D12" s="23"/>
      <c r="E12" s="23">
        <f t="shared" si="2"/>
        <v>7737275</v>
      </c>
      <c r="F12" s="24">
        <f>SUM(B12:E12)</f>
        <v>21485124</v>
      </c>
      <c r="G12" s="23">
        <f t="shared" ref="G12:J14" si="3">+G21+G30+G39+G48+G57+G66</f>
        <v>4500158</v>
      </c>
      <c r="H12" s="23">
        <f t="shared" si="3"/>
        <v>7701544</v>
      </c>
      <c r="I12" s="23"/>
      <c r="J12" s="23">
        <f t="shared" si="3"/>
        <v>6793347</v>
      </c>
      <c r="K12" s="24">
        <f>SUM(G12:J12)</f>
        <v>18995049</v>
      </c>
      <c r="L12" s="25">
        <f t="shared" ref="L12:M14" si="4">+B12-G12</f>
        <v>1983</v>
      </c>
      <c r="M12" s="25">
        <f t="shared" si="4"/>
        <v>1544164</v>
      </c>
      <c r="N12" s="25"/>
      <c r="O12" s="25">
        <f>+E12-J12</f>
        <v>943928</v>
      </c>
      <c r="P12" s="26">
        <f>SUM(L12:O12)</f>
        <v>2490075</v>
      </c>
      <c r="Q12" s="18"/>
    </row>
    <row r="13" spans="1:18" ht="12.75" customHeight="1">
      <c r="A13" s="22" t="s">
        <v>17</v>
      </c>
      <c r="B13" s="23">
        <f t="shared" si="2"/>
        <v>2985075</v>
      </c>
      <c r="C13" s="23">
        <f t="shared" si="2"/>
        <v>6887</v>
      </c>
      <c r="D13" s="23"/>
      <c r="E13" s="23">
        <f t="shared" si="2"/>
        <v>0</v>
      </c>
      <c r="F13" s="24">
        <f>SUM(B13:E13)</f>
        <v>2991962</v>
      </c>
      <c r="G13" s="23">
        <f t="shared" si="3"/>
        <v>2967953</v>
      </c>
      <c r="H13" s="23">
        <f t="shared" si="3"/>
        <v>5847</v>
      </c>
      <c r="I13" s="23"/>
      <c r="J13" s="23">
        <f t="shared" si="3"/>
        <v>0</v>
      </c>
      <c r="K13" s="24">
        <f>SUM(G13:J13)</f>
        <v>2973800</v>
      </c>
      <c r="L13" s="25">
        <f t="shared" si="4"/>
        <v>17122</v>
      </c>
      <c r="M13" s="25">
        <f t="shared" si="4"/>
        <v>1040</v>
      </c>
      <c r="N13" s="25"/>
      <c r="O13" s="25">
        <f>+E13-J13</f>
        <v>0</v>
      </c>
      <c r="P13" s="26">
        <f>SUM(L13:O13)</f>
        <v>18162</v>
      </c>
      <c r="Q13" s="18"/>
    </row>
    <row r="14" spans="1:18" ht="12.75" customHeight="1">
      <c r="A14" s="22" t="s">
        <v>18</v>
      </c>
      <c r="B14" s="23">
        <f t="shared" si="2"/>
        <v>333793</v>
      </c>
      <c r="C14" s="23">
        <f t="shared" si="2"/>
        <v>205519</v>
      </c>
      <c r="D14" s="23"/>
      <c r="E14" s="23">
        <f t="shared" si="2"/>
        <v>7872</v>
      </c>
      <c r="F14" s="24">
        <f>SUM(B14:E14)</f>
        <v>547184</v>
      </c>
      <c r="G14" s="23">
        <f t="shared" si="3"/>
        <v>332664</v>
      </c>
      <c r="H14" s="23">
        <f t="shared" si="3"/>
        <v>240</v>
      </c>
      <c r="I14" s="23"/>
      <c r="J14" s="23">
        <f t="shared" si="3"/>
        <v>0</v>
      </c>
      <c r="K14" s="24">
        <f>SUM(G14:J14)</f>
        <v>332904</v>
      </c>
      <c r="L14" s="25">
        <f t="shared" si="4"/>
        <v>1129</v>
      </c>
      <c r="M14" s="25">
        <f t="shared" si="4"/>
        <v>205279</v>
      </c>
      <c r="N14" s="25"/>
      <c r="O14" s="25">
        <f>+E14-J14</f>
        <v>7872</v>
      </c>
      <c r="P14" s="26">
        <f>SUM(L14:O14)</f>
        <v>214280</v>
      </c>
      <c r="Q14" s="18"/>
    </row>
    <row r="15" spans="1:18" ht="12.75" customHeight="1">
      <c r="A15" s="22" t="s">
        <v>19</v>
      </c>
      <c r="B15" s="44">
        <f t="shared" ref="B15:P15" si="5">+B16+B17</f>
        <v>0</v>
      </c>
      <c r="C15" s="44">
        <f t="shared" si="5"/>
        <v>1417234</v>
      </c>
      <c r="D15" s="44"/>
      <c r="E15" s="45">
        <f t="shared" si="5"/>
        <v>517306</v>
      </c>
      <c r="F15" s="44">
        <f t="shared" si="5"/>
        <v>1934540</v>
      </c>
      <c r="G15" s="44">
        <f t="shared" si="5"/>
        <v>0</v>
      </c>
      <c r="H15" s="44">
        <f t="shared" si="5"/>
        <v>1016451</v>
      </c>
      <c r="I15" s="44"/>
      <c r="J15" s="45">
        <f t="shared" si="5"/>
        <v>412138</v>
      </c>
      <c r="K15" s="44">
        <f t="shared" si="5"/>
        <v>1428589</v>
      </c>
      <c r="L15" s="44">
        <f t="shared" si="5"/>
        <v>0</v>
      </c>
      <c r="M15" s="44">
        <f t="shared" si="5"/>
        <v>400783</v>
      </c>
      <c r="N15" s="44"/>
      <c r="O15" s="44">
        <f t="shared" si="5"/>
        <v>105168</v>
      </c>
      <c r="P15" s="45">
        <f t="shared" si="5"/>
        <v>505951</v>
      </c>
      <c r="Q15" s="18"/>
    </row>
    <row r="16" spans="1:18" ht="12.75" customHeight="1">
      <c r="A16" s="23" t="s">
        <v>20</v>
      </c>
      <c r="B16" s="23">
        <f t="shared" ref="B16:E17" si="6">+B25+B34+B43+B52+B61+B70</f>
        <v>0</v>
      </c>
      <c r="C16" s="23">
        <f t="shared" si="6"/>
        <v>1353393</v>
      </c>
      <c r="D16" s="23"/>
      <c r="E16" s="23">
        <f t="shared" si="6"/>
        <v>502340</v>
      </c>
      <c r="F16" s="24">
        <f>SUM(B16:E16)</f>
        <v>1855733</v>
      </c>
      <c r="G16" s="23">
        <f t="shared" ref="G16:J17" si="7">+G25+G34+G43+G52+G61+G70</f>
        <v>0</v>
      </c>
      <c r="H16" s="23">
        <f t="shared" si="7"/>
        <v>1016451</v>
      </c>
      <c r="I16" s="23"/>
      <c r="J16" s="23">
        <f t="shared" si="7"/>
        <v>412138</v>
      </c>
      <c r="K16" s="24">
        <f>SUM(G16:J16)</f>
        <v>1428589</v>
      </c>
      <c r="L16" s="25">
        <f>+B16-G16</f>
        <v>0</v>
      </c>
      <c r="M16" s="25">
        <f>+C16-H16</f>
        <v>336942</v>
      </c>
      <c r="N16" s="25"/>
      <c r="O16" s="25">
        <f>+E16-J16</f>
        <v>90202</v>
      </c>
      <c r="P16" s="26">
        <f>SUM(L16:O16)</f>
        <v>427144</v>
      </c>
      <c r="Q16" s="18"/>
    </row>
    <row r="17" spans="1:17" ht="12.75" customHeight="1">
      <c r="A17" s="23" t="s">
        <v>21</v>
      </c>
      <c r="B17" s="23">
        <f t="shared" si="6"/>
        <v>0</v>
      </c>
      <c r="C17" s="23">
        <f t="shared" si="6"/>
        <v>63841</v>
      </c>
      <c r="D17" s="23"/>
      <c r="E17" s="23">
        <f t="shared" si="6"/>
        <v>14966</v>
      </c>
      <c r="F17" s="24">
        <f>SUM(B17:E17)</f>
        <v>78807</v>
      </c>
      <c r="G17" s="23">
        <f t="shared" si="7"/>
        <v>0</v>
      </c>
      <c r="H17" s="23">
        <f t="shared" si="7"/>
        <v>0</v>
      </c>
      <c r="I17" s="23"/>
      <c r="J17" s="23">
        <f t="shared" si="7"/>
        <v>0</v>
      </c>
      <c r="K17" s="24">
        <f>SUM(G17:J17)</f>
        <v>0</v>
      </c>
      <c r="L17" s="25">
        <f>+B17-G17</f>
        <v>0</v>
      </c>
      <c r="M17" s="25">
        <f>+C17-H17</f>
        <v>63841</v>
      </c>
      <c r="N17" s="25"/>
      <c r="O17" s="25">
        <f>+E17-J17</f>
        <v>14966</v>
      </c>
      <c r="P17" s="26">
        <f>SUM(L17:O17)</f>
        <v>78807</v>
      </c>
      <c r="Q17" s="18"/>
    </row>
    <row r="18" spans="1:17" ht="12.75" customHeight="1">
      <c r="A18" s="23"/>
      <c r="B18" s="25"/>
      <c r="C18" s="25"/>
      <c r="D18" s="25"/>
      <c r="E18" s="25"/>
      <c r="F18" s="24"/>
      <c r="G18" s="47"/>
      <c r="H18" s="47"/>
      <c r="I18" s="47"/>
      <c r="J18" s="47"/>
      <c r="K18" s="32"/>
      <c r="L18" s="25"/>
      <c r="M18" s="25"/>
      <c r="N18" s="25"/>
      <c r="O18" s="25"/>
      <c r="P18" s="26"/>
      <c r="Q18" s="18"/>
    </row>
    <row r="19" spans="1:17" ht="12.75" customHeight="1">
      <c r="A19" s="33" t="s">
        <v>31</v>
      </c>
      <c r="B19" s="17">
        <f t="shared" ref="B19:K19" si="8">+B20+B24</f>
        <v>6618743</v>
      </c>
      <c r="C19" s="17">
        <f t="shared" si="8"/>
        <v>8951763</v>
      </c>
      <c r="D19" s="17">
        <f t="shared" si="8"/>
        <v>0</v>
      </c>
      <c r="E19" s="17">
        <f t="shared" si="8"/>
        <v>7018549</v>
      </c>
      <c r="F19" s="17">
        <f t="shared" si="8"/>
        <v>22589055</v>
      </c>
      <c r="G19" s="17">
        <f t="shared" si="8"/>
        <v>6602949</v>
      </c>
      <c r="H19" s="17">
        <f t="shared" si="8"/>
        <v>6842210</v>
      </c>
      <c r="I19" s="17">
        <f t="shared" si="8"/>
        <v>0</v>
      </c>
      <c r="J19" s="17">
        <f t="shared" si="8"/>
        <v>6005420</v>
      </c>
      <c r="K19" s="17">
        <f t="shared" si="8"/>
        <v>19450579</v>
      </c>
      <c r="L19" s="17">
        <f>+L20+L24</f>
        <v>15794</v>
      </c>
      <c r="M19" s="17">
        <f>+M20+M24</f>
        <v>2109553</v>
      </c>
      <c r="N19" s="17"/>
      <c r="O19" s="17">
        <f>+O20+O24</f>
        <v>1013129</v>
      </c>
      <c r="P19" s="17">
        <f>+P20+P24</f>
        <v>3138476</v>
      </c>
      <c r="Q19" s="18">
        <f>+K19/F19</f>
        <v>0.86106209400968747</v>
      </c>
    </row>
    <row r="20" spans="1:17" ht="12.75" customHeight="1">
      <c r="A20" s="41" t="s">
        <v>15</v>
      </c>
      <c r="B20" s="20">
        <f t="shared" ref="B20:K20" si="9">+B21+B22+B23</f>
        <v>6618743</v>
      </c>
      <c r="C20" s="20">
        <f t="shared" si="9"/>
        <v>7996343</v>
      </c>
      <c r="D20" s="20">
        <f t="shared" si="9"/>
        <v>0</v>
      </c>
      <c r="E20" s="20">
        <f t="shared" si="9"/>
        <v>6574609</v>
      </c>
      <c r="F20" s="20">
        <f t="shared" si="9"/>
        <v>21189695</v>
      </c>
      <c r="G20" s="20">
        <f t="shared" si="9"/>
        <v>6602949</v>
      </c>
      <c r="H20" s="20">
        <f t="shared" si="9"/>
        <v>6269304</v>
      </c>
      <c r="I20" s="20">
        <f t="shared" si="9"/>
        <v>0</v>
      </c>
      <c r="J20" s="20">
        <f t="shared" si="9"/>
        <v>5636260</v>
      </c>
      <c r="K20" s="20">
        <f t="shared" si="9"/>
        <v>18508513</v>
      </c>
      <c r="L20" s="20">
        <f>+L21+L22+L23</f>
        <v>15794</v>
      </c>
      <c r="M20" s="20">
        <f>+M21+M22+M23</f>
        <v>1727039</v>
      </c>
      <c r="N20" s="20"/>
      <c r="O20" s="20">
        <f>+O21+O22+O23</f>
        <v>938349</v>
      </c>
      <c r="P20" s="21">
        <f>+P21+P22+P23</f>
        <v>2681182</v>
      </c>
      <c r="Q20" s="18"/>
    </row>
    <row r="21" spans="1:17" ht="12.75" customHeight="1">
      <c r="A21" s="22" t="s">
        <v>16</v>
      </c>
      <c r="B21" s="29">
        <v>3601426</v>
      </c>
      <c r="C21" s="29">
        <v>7783937</v>
      </c>
      <c r="D21" s="29"/>
      <c r="E21" s="30">
        <v>6566737</v>
      </c>
      <c r="F21" s="24">
        <f>SUM(B21:E21)</f>
        <v>17952100</v>
      </c>
      <c r="G21" s="29">
        <f>3724609-123183</f>
        <v>3601426</v>
      </c>
      <c r="H21" s="29">
        <f>5953773+76119+85046+23713+123183+183+1200</f>
        <v>6263217</v>
      </c>
      <c r="I21" s="29">
        <f>183+1200-183-1200</f>
        <v>0</v>
      </c>
      <c r="J21" s="29">
        <f>5505058+126816+1550+2836</f>
        <v>5636260</v>
      </c>
      <c r="K21" s="24">
        <f>SUM(G21:J21)</f>
        <v>15500903</v>
      </c>
      <c r="L21" s="25">
        <f t="shared" ref="L21:M23" si="10">+B21-G21</f>
        <v>0</v>
      </c>
      <c r="M21" s="25">
        <f t="shared" si="10"/>
        <v>1520720</v>
      </c>
      <c r="N21" s="25"/>
      <c r="O21" s="25">
        <f>+E21-J21</f>
        <v>930477</v>
      </c>
      <c r="P21" s="26">
        <f>SUM(L21:O21)</f>
        <v>2451197</v>
      </c>
      <c r="Q21" s="18"/>
    </row>
    <row r="22" spans="1:17" ht="12.75" customHeight="1">
      <c r="A22" s="22" t="s">
        <v>17</v>
      </c>
      <c r="B22" s="29">
        <v>2760650</v>
      </c>
      <c r="C22" s="29">
        <v>6887</v>
      </c>
      <c r="D22" s="29"/>
      <c r="E22" s="30"/>
      <c r="F22" s="24">
        <f>SUM(B22:E22)</f>
        <v>2767537</v>
      </c>
      <c r="G22" s="29">
        <v>2744856</v>
      </c>
      <c r="H22" s="29">
        <v>5847</v>
      </c>
      <c r="I22" s="29"/>
      <c r="J22" s="34"/>
      <c r="K22" s="24">
        <f>SUM(G22:J22)</f>
        <v>2750703</v>
      </c>
      <c r="L22" s="25">
        <f t="shared" si="10"/>
        <v>15794</v>
      </c>
      <c r="M22" s="25">
        <f t="shared" si="10"/>
        <v>1040</v>
      </c>
      <c r="N22" s="25"/>
      <c r="O22" s="25">
        <f>+E22-J22</f>
        <v>0</v>
      </c>
      <c r="P22" s="26">
        <f>SUM(L22:O22)</f>
        <v>16834</v>
      </c>
      <c r="Q22" s="18"/>
    </row>
    <row r="23" spans="1:17" ht="12.75" customHeight="1">
      <c r="A23" s="22" t="s">
        <v>18</v>
      </c>
      <c r="B23" s="29">
        <v>256667</v>
      </c>
      <c r="C23" s="29">
        <v>205519</v>
      </c>
      <c r="D23" s="29"/>
      <c r="E23" s="30">
        <v>7872</v>
      </c>
      <c r="F23" s="24">
        <f>SUM(B23:E23)</f>
        <v>470058</v>
      </c>
      <c r="G23" s="29">
        <f>256907-240</f>
        <v>256667</v>
      </c>
      <c r="H23" s="29">
        <v>240</v>
      </c>
      <c r="I23" s="29"/>
      <c r="J23" s="29"/>
      <c r="K23" s="24">
        <f>SUM(G23:J23)</f>
        <v>256907</v>
      </c>
      <c r="L23" s="25">
        <f t="shared" si="10"/>
        <v>0</v>
      </c>
      <c r="M23" s="25">
        <f t="shared" si="10"/>
        <v>205279</v>
      </c>
      <c r="N23" s="25"/>
      <c r="O23" s="25">
        <f>+E23-J23</f>
        <v>7872</v>
      </c>
      <c r="P23" s="26">
        <f>SUM(L23:O23)</f>
        <v>213151</v>
      </c>
      <c r="Q23" s="18"/>
    </row>
    <row r="24" spans="1:17" ht="12.75" customHeight="1">
      <c r="A24" s="22" t="s">
        <v>19</v>
      </c>
      <c r="B24" s="27">
        <f t="shared" ref="B24:K24" si="11">+B25+B26</f>
        <v>0</v>
      </c>
      <c r="C24" s="27">
        <f t="shared" si="11"/>
        <v>955420</v>
      </c>
      <c r="D24" s="27">
        <f t="shared" si="11"/>
        <v>0</v>
      </c>
      <c r="E24" s="27">
        <f t="shared" si="11"/>
        <v>443940</v>
      </c>
      <c r="F24" s="27">
        <f t="shared" si="11"/>
        <v>1399360</v>
      </c>
      <c r="G24" s="27">
        <f t="shared" si="11"/>
        <v>0</v>
      </c>
      <c r="H24" s="27">
        <f t="shared" si="11"/>
        <v>572906</v>
      </c>
      <c r="I24" s="27">
        <f t="shared" si="11"/>
        <v>0</v>
      </c>
      <c r="J24" s="27">
        <f t="shared" si="11"/>
        <v>369160</v>
      </c>
      <c r="K24" s="27">
        <f t="shared" si="11"/>
        <v>942066</v>
      </c>
      <c r="L24" s="27">
        <f t="shared" ref="L24:P24" si="12">+L25+L26</f>
        <v>0</v>
      </c>
      <c r="M24" s="27">
        <f t="shared" si="12"/>
        <v>382514</v>
      </c>
      <c r="N24" s="27"/>
      <c r="O24" s="27">
        <f t="shared" si="12"/>
        <v>74780</v>
      </c>
      <c r="P24" s="28">
        <f t="shared" si="12"/>
        <v>457294</v>
      </c>
      <c r="Q24" s="18"/>
    </row>
    <row r="25" spans="1:17" ht="12.75" customHeight="1">
      <c r="A25" s="23" t="s">
        <v>20</v>
      </c>
      <c r="B25" s="29"/>
      <c r="C25" s="29">
        <v>891579</v>
      </c>
      <c r="D25" s="29"/>
      <c r="E25" s="30">
        <v>428974</v>
      </c>
      <c r="F25" s="24">
        <f>SUM(B25:E25)</f>
        <v>1320553</v>
      </c>
      <c r="G25" s="29"/>
      <c r="H25" s="29">
        <f>466076+105520+1086+224</f>
        <v>572906</v>
      </c>
      <c r="I25" s="29"/>
      <c r="J25" s="29">
        <f>284601+83812+747</f>
        <v>369160</v>
      </c>
      <c r="K25" s="24">
        <f>SUM(G25:J25)</f>
        <v>942066</v>
      </c>
      <c r="L25" s="25">
        <f>+B25-G25</f>
        <v>0</v>
      </c>
      <c r="M25" s="25">
        <f>+C25-H25</f>
        <v>318673</v>
      </c>
      <c r="N25" s="25"/>
      <c r="O25" s="25">
        <f>+E25-J25</f>
        <v>59814</v>
      </c>
      <c r="P25" s="26">
        <f>SUM(L25:O25)</f>
        <v>378487</v>
      </c>
      <c r="Q25" s="18"/>
    </row>
    <row r="26" spans="1:17" ht="12.75" customHeight="1">
      <c r="A26" s="23" t="s">
        <v>21</v>
      </c>
      <c r="B26" s="29"/>
      <c r="C26" s="29">
        <v>63841</v>
      </c>
      <c r="D26" s="29"/>
      <c r="E26" s="30">
        <v>14966</v>
      </c>
      <c r="F26" s="24">
        <f>SUM(B26:E26)</f>
        <v>78807</v>
      </c>
      <c r="G26" s="29"/>
      <c r="H26" s="29"/>
      <c r="I26" s="29"/>
      <c r="J26" s="29"/>
      <c r="K26" s="24">
        <f>SUM(G26:J26)</f>
        <v>0</v>
      </c>
      <c r="L26" s="25">
        <f>+B26-G26</f>
        <v>0</v>
      </c>
      <c r="M26" s="25">
        <f>+C26-H26</f>
        <v>63841</v>
      </c>
      <c r="N26" s="25"/>
      <c r="O26" s="25">
        <f>+E26-J26</f>
        <v>14966</v>
      </c>
      <c r="P26" s="26">
        <f>SUM(L26:O26)</f>
        <v>78807</v>
      </c>
      <c r="Q26" s="18"/>
    </row>
    <row r="27" spans="1:17" ht="12.75" customHeight="1">
      <c r="A27" s="33"/>
      <c r="B27" s="29"/>
      <c r="C27" s="25"/>
      <c r="D27" s="25"/>
      <c r="E27" s="25"/>
      <c r="F27" s="24"/>
      <c r="G27" s="47"/>
      <c r="H27" s="47"/>
      <c r="I27" s="47"/>
      <c r="J27" s="47"/>
      <c r="K27" s="32"/>
      <c r="L27" s="25"/>
      <c r="M27" s="25"/>
      <c r="N27" s="25"/>
      <c r="O27" s="25"/>
      <c r="P27" s="26"/>
      <c r="Q27" s="18"/>
    </row>
    <row r="28" spans="1:17" ht="12.75" customHeight="1">
      <c r="A28" s="33" t="s">
        <v>54</v>
      </c>
      <c r="B28" s="17">
        <f t="shared" ref="B28:K28" si="13">+B29+B33</f>
        <v>331683</v>
      </c>
      <c r="C28" s="17">
        <f t="shared" si="13"/>
        <v>464102</v>
      </c>
      <c r="D28" s="17">
        <f t="shared" si="13"/>
        <v>0</v>
      </c>
      <c r="E28" s="17">
        <f t="shared" si="13"/>
        <v>640743</v>
      </c>
      <c r="F28" s="17">
        <f t="shared" si="13"/>
        <v>1436528</v>
      </c>
      <c r="G28" s="17">
        <f t="shared" si="13"/>
        <v>329912</v>
      </c>
      <c r="H28" s="17">
        <f t="shared" si="13"/>
        <v>450504</v>
      </c>
      <c r="I28" s="17">
        <f t="shared" si="13"/>
        <v>0</v>
      </c>
      <c r="J28" s="17">
        <f t="shared" si="13"/>
        <v>611679</v>
      </c>
      <c r="K28" s="17">
        <f t="shared" si="13"/>
        <v>1392095</v>
      </c>
      <c r="L28" s="17">
        <f>+L29+L33</f>
        <v>1771</v>
      </c>
      <c r="M28" s="17">
        <f>+M29+M33</f>
        <v>13598</v>
      </c>
      <c r="N28" s="17"/>
      <c r="O28" s="17">
        <f>+O29+O33</f>
        <v>29064</v>
      </c>
      <c r="P28" s="17">
        <f>+P29+P33</f>
        <v>44433</v>
      </c>
      <c r="Q28" s="18">
        <f>+K28/F28</f>
        <v>0.9690691723377477</v>
      </c>
    </row>
    <row r="29" spans="1:17" ht="12.75" customHeight="1">
      <c r="A29" s="41" t="s">
        <v>15</v>
      </c>
      <c r="B29" s="20">
        <f t="shared" ref="B29:K29" si="14">+B30+B31+B32</f>
        <v>331683</v>
      </c>
      <c r="C29" s="20">
        <f t="shared" si="14"/>
        <v>455198</v>
      </c>
      <c r="D29" s="20">
        <f t="shared" si="14"/>
        <v>0</v>
      </c>
      <c r="E29" s="20">
        <f t="shared" si="14"/>
        <v>614046</v>
      </c>
      <c r="F29" s="20">
        <f t="shared" si="14"/>
        <v>1400927</v>
      </c>
      <c r="G29" s="20">
        <f t="shared" si="14"/>
        <v>329912</v>
      </c>
      <c r="H29" s="20">
        <f t="shared" si="14"/>
        <v>450156</v>
      </c>
      <c r="I29" s="20">
        <f t="shared" si="14"/>
        <v>0</v>
      </c>
      <c r="J29" s="20">
        <f t="shared" si="14"/>
        <v>610869</v>
      </c>
      <c r="K29" s="20">
        <f t="shared" si="14"/>
        <v>1390937</v>
      </c>
      <c r="L29" s="20">
        <f>+L30+L31+L32</f>
        <v>1771</v>
      </c>
      <c r="M29" s="20">
        <f>+M30+M31+M32</f>
        <v>5042</v>
      </c>
      <c r="N29" s="20"/>
      <c r="O29" s="20">
        <f>+O30+O31+O32</f>
        <v>3177</v>
      </c>
      <c r="P29" s="21">
        <f>+P30+P31+P32</f>
        <v>9990</v>
      </c>
      <c r="Q29" s="18"/>
    </row>
    <row r="30" spans="1:17" ht="12.75" customHeight="1">
      <c r="A30" s="22" t="s">
        <v>16</v>
      </c>
      <c r="B30" s="29">
        <v>210691</v>
      </c>
      <c r="C30" s="29">
        <v>455198</v>
      </c>
      <c r="D30" s="29"/>
      <c r="E30" s="30">
        <v>614046</v>
      </c>
      <c r="F30" s="24">
        <f>SUM(B30:E30)</f>
        <v>1279935</v>
      </c>
      <c r="G30" s="29">
        <f>209530</f>
        <v>209530</v>
      </c>
      <c r="H30" s="29">
        <f>450156</f>
        <v>450156</v>
      </c>
      <c r="I30" s="29"/>
      <c r="J30" s="29">
        <v>610869</v>
      </c>
      <c r="K30" s="24">
        <f>SUM(G30:J30)</f>
        <v>1270555</v>
      </c>
      <c r="L30" s="25">
        <f t="shared" ref="L30:M32" si="15">+B30-G30</f>
        <v>1161</v>
      </c>
      <c r="M30" s="25">
        <f t="shared" si="15"/>
        <v>5042</v>
      </c>
      <c r="N30" s="25"/>
      <c r="O30" s="25">
        <f>+E30-J30</f>
        <v>3177</v>
      </c>
      <c r="P30" s="26">
        <f>SUM(L30:O30)</f>
        <v>9380</v>
      </c>
      <c r="Q30" s="18"/>
    </row>
    <row r="31" spans="1:17" ht="12.75" customHeight="1">
      <c r="A31" s="22" t="s">
        <v>17</v>
      </c>
      <c r="B31" s="29">
        <v>103382</v>
      </c>
      <c r="C31" s="34"/>
      <c r="D31" s="34"/>
      <c r="E31" s="30"/>
      <c r="F31" s="24">
        <f>SUM(B31:E31)</f>
        <v>103382</v>
      </c>
      <c r="G31" s="29">
        <v>103294</v>
      </c>
      <c r="H31" s="34"/>
      <c r="I31" s="34"/>
      <c r="J31" s="34"/>
      <c r="K31" s="24">
        <f>SUM(G31:J31)</f>
        <v>103294</v>
      </c>
      <c r="L31" s="25">
        <f t="shared" si="15"/>
        <v>88</v>
      </c>
      <c r="M31" s="25">
        <f t="shared" si="15"/>
        <v>0</v>
      </c>
      <c r="N31" s="25"/>
      <c r="O31" s="25">
        <f>+E31-J31</f>
        <v>0</v>
      </c>
      <c r="P31" s="26">
        <f>SUM(L31:O31)</f>
        <v>88</v>
      </c>
      <c r="Q31" s="18"/>
    </row>
    <row r="32" spans="1:17" ht="12.75" customHeight="1">
      <c r="A32" s="22" t="s">
        <v>18</v>
      </c>
      <c r="B32" s="29">
        <v>17610</v>
      </c>
      <c r="C32" s="29"/>
      <c r="D32" s="29"/>
      <c r="E32" s="30"/>
      <c r="F32" s="24">
        <f>SUM(B32:E32)</f>
        <v>17610</v>
      </c>
      <c r="G32" s="29">
        <v>17088</v>
      </c>
      <c r="H32" s="34"/>
      <c r="I32" s="34"/>
      <c r="J32" s="34"/>
      <c r="K32" s="24">
        <f>SUM(G32:J32)</f>
        <v>17088</v>
      </c>
      <c r="L32" s="25">
        <f t="shared" si="15"/>
        <v>522</v>
      </c>
      <c r="M32" s="25">
        <f t="shared" si="15"/>
        <v>0</v>
      </c>
      <c r="N32" s="25"/>
      <c r="O32" s="25">
        <f>+E32-J32</f>
        <v>0</v>
      </c>
      <c r="P32" s="26">
        <f>SUM(L32:O32)</f>
        <v>522</v>
      </c>
      <c r="Q32" s="18"/>
    </row>
    <row r="33" spans="1:17" ht="12.75" customHeight="1">
      <c r="A33" s="22" t="s">
        <v>19</v>
      </c>
      <c r="B33" s="27">
        <f t="shared" ref="B33:K33" si="16">+B34+B35</f>
        <v>0</v>
      </c>
      <c r="C33" s="27">
        <f t="shared" si="16"/>
        <v>8904</v>
      </c>
      <c r="D33" s="27">
        <f t="shared" si="16"/>
        <v>0</v>
      </c>
      <c r="E33" s="27">
        <f t="shared" si="16"/>
        <v>26697</v>
      </c>
      <c r="F33" s="27">
        <f t="shared" si="16"/>
        <v>35601</v>
      </c>
      <c r="G33" s="27">
        <f t="shared" si="16"/>
        <v>0</v>
      </c>
      <c r="H33" s="27">
        <f t="shared" si="16"/>
        <v>348</v>
      </c>
      <c r="I33" s="27">
        <f t="shared" si="16"/>
        <v>0</v>
      </c>
      <c r="J33" s="27">
        <f t="shared" si="16"/>
        <v>810</v>
      </c>
      <c r="K33" s="27">
        <f t="shared" si="16"/>
        <v>1158</v>
      </c>
      <c r="L33" s="27">
        <f t="shared" ref="L33:P33" si="17">+L34+L35</f>
        <v>0</v>
      </c>
      <c r="M33" s="27">
        <f t="shared" si="17"/>
        <v>8556</v>
      </c>
      <c r="N33" s="27"/>
      <c r="O33" s="27">
        <f t="shared" si="17"/>
        <v>25887</v>
      </c>
      <c r="P33" s="28">
        <f t="shared" si="17"/>
        <v>34443</v>
      </c>
      <c r="Q33" s="18"/>
    </row>
    <row r="34" spans="1:17" ht="12.75" customHeight="1">
      <c r="A34" s="23" t="s">
        <v>20</v>
      </c>
      <c r="B34" s="29"/>
      <c r="C34" s="29">
        <v>8904</v>
      </c>
      <c r="D34" s="29"/>
      <c r="E34" s="30">
        <v>26697</v>
      </c>
      <c r="F34" s="24">
        <f>SUM(B34:E34)</f>
        <v>35601</v>
      </c>
      <c r="G34" s="29"/>
      <c r="H34" s="29">
        <v>348</v>
      </c>
      <c r="I34" s="29"/>
      <c r="J34" s="29">
        <v>810</v>
      </c>
      <c r="K34" s="24">
        <f>SUM(G34:J34)</f>
        <v>1158</v>
      </c>
      <c r="L34" s="25">
        <f>+B34-G34</f>
        <v>0</v>
      </c>
      <c r="M34" s="25">
        <f>+C34-H34</f>
        <v>8556</v>
      </c>
      <c r="N34" s="25"/>
      <c r="O34" s="25">
        <f>+E34-J34</f>
        <v>25887</v>
      </c>
      <c r="P34" s="26">
        <f>SUM(L34:O34)</f>
        <v>34443</v>
      </c>
      <c r="Q34" s="18"/>
    </row>
    <row r="35" spans="1:17" ht="12.75" customHeight="1">
      <c r="A35" s="23" t="s">
        <v>21</v>
      </c>
      <c r="B35" s="29"/>
      <c r="C35" s="29"/>
      <c r="D35" s="29"/>
      <c r="E35" s="30"/>
      <c r="F35" s="24">
        <f>SUM(B35:E35)</f>
        <v>0</v>
      </c>
      <c r="G35" s="29"/>
      <c r="H35" s="29"/>
      <c r="I35" s="29"/>
      <c r="J35" s="29"/>
      <c r="K35" s="24">
        <f>SUM(G35:J35)</f>
        <v>0</v>
      </c>
      <c r="L35" s="25">
        <f>+B35-G35</f>
        <v>0</v>
      </c>
      <c r="M35" s="25">
        <f>+C35-H35</f>
        <v>0</v>
      </c>
      <c r="N35" s="25"/>
      <c r="O35" s="25">
        <f>+E35-J35</f>
        <v>0</v>
      </c>
      <c r="P35" s="26">
        <f>SUM(L35:O35)</f>
        <v>0</v>
      </c>
      <c r="Q35" s="18"/>
    </row>
    <row r="36" spans="1:17" ht="12.75" customHeight="1">
      <c r="A36" s="33"/>
      <c r="B36" s="25"/>
      <c r="C36" s="25"/>
      <c r="D36" s="25"/>
      <c r="E36" s="25"/>
      <c r="F36" s="24"/>
      <c r="G36" s="47"/>
      <c r="H36" s="47"/>
      <c r="I36" s="47"/>
      <c r="J36" s="47"/>
      <c r="K36" s="32"/>
      <c r="L36" s="25"/>
      <c r="M36" s="25"/>
      <c r="N36" s="25"/>
      <c r="O36" s="25"/>
      <c r="P36" s="26"/>
      <c r="Q36" s="18"/>
    </row>
    <row r="37" spans="1:17" ht="12.75" customHeight="1">
      <c r="A37" s="33" t="s">
        <v>55</v>
      </c>
      <c r="B37" s="17">
        <f t="shared" ref="B37:K37" si="18">+B38+B42</f>
        <v>481465</v>
      </c>
      <c r="C37" s="17">
        <f t="shared" si="18"/>
        <v>569127</v>
      </c>
      <c r="D37" s="17">
        <f t="shared" si="18"/>
        <v>0</v>
      </c>
      <c r="E37" s="17">
        <f t="shared" si="18"/>
        <v>176718</v>
      </c>
      <c r="F37" s="17">
        <f t="shared" si="18"/>
        <v>1227310</v>
      </c>
      <c r="G37" s="17">
        <f t="shared" si="18"/>
        <v>478991</v>
      </c>
      <c r="H37" s="17">
        <f t="shared" si="18"/>
        <v>542867</v>
      </c>
      <c r="I37" s="17">
        <f t="shared" si="18"/>
        <v>0</v>
      </c>
      <c r="J37" s="17">
        <f t="shared" si="18"/>
        <v>173090</v>
      </c>
      <c r="K37" s="17">
        <f t="shared" si="18"/>
        <v>1194948</v>
      </c>
      <c r="L37" s="17">
        <f>+L38+L42</f>
        <v>2474</v>
      </c>
      <c r="M37" s="17">
        <f>+M38+M42</f>
        <v>26260</v>
      </c>
      <c r="N37" s="17"/>
      <c r="O37" s="17">
        <f>+O38+O42</f>
        <v>3628</v>
      </c>
      <c r="P37" s="17">
        <f>+P38+P42</f>
        <v>32362</v>
      </c>
      <c r="Q37" s="18">
        <f>+K37/F37</f>
        <v>0.97363176377606309</v>
      </c>
    </row>
    <row r="38" spans="1:17" ht="12.75" customHeight="1">
      <c r="A38" s="41" t="s">
        <v>15</v>
      </c>
      <c r="B38" s="20">
        <f t="shared" ref="B38:K38" si="19">+B39+B40+B41</f>
        <v>481465</v>
      </c>
      <c r="C38" s="20">
        <f t="shared" si="19"/>
        <v>559414</v>
      </c>
      <c r="D38" s="20">
        <f t="shared" si="19"/>
        <v>0</v>
      </c>
      <c r="E38" s="20">
        <f t="shared" si="19"/>
        <v>176699</v>
      </c>
      <c r="F38" s="20">
        <f t="shared" si="19"/>
        <v>1217578</v>
      </c>
      <c r="G38" s="20">
        <f t="shared" si="19"/>
        <v>478991</v>
      </c>
      <c r="H38" s="20">
        <f t="shared" si="19"/>
        <v>542867</v>
      </c>
      <c r="I38" s="20">
        <f t="shared" si="19"/>
        <v>0</v>
      </c>
      <c r="J38" s="20">
        <f t="shared" si="19"/>
        <v>173090</v>
      </c>
      <c r="K38" s="20">
        <f t="shared" si="19"/>
        <v>1194948</v>
      </c>
      <c r="L38" s="20">
        <f>+L39+L40+L41</f>
        <v>2474</v>
      </c>
      <c r="M38" s="20">
        <f>+M39+M40+M41</f>
        <v>16547</v>
      </c>
      <c r="N38" s="20"/>
      <c r="O38" s="20">
        <f>+O39+O40+O41</f>
        <v>3609</v>
      </c>
      <c r="P38" s="21">
        <f>+P39+P40+P41</f>
        <v>22630</v>
      </c>
      <c r="Q38" s="18"/>
    </row>
    <row r="39" spans="1:17" ht="12.75" customHeight="1">
      <c r="A39" s="22" t="s">
        <v>16</v>
      </c>
      <c r="B39" s="29">
        <v>371515</v>
      </c>
      <c r="C39" s="29">
        <v>559414</v>
      </c>
      <c r="D39" s="29"/>
      <c r="E39" s="30">
        <v>176699</v>
      </c>
      <c r="F39" s="24">
        <f>SUM(B39:E39)</f>
        <v>1107628</v>
      </c>
      <c r="G39" s="29">
        <v>370724</v>
      </c>
      <c r="H39" s="29">
        <v>542867</v>
      </c>
      <c r="I39" s="29"/>
      <c r="J39" s="29">
        <f>173089+1</f>
        <v>173090</v>
      </c>
      <c r="K39" s="24">
        <f>SUM(G39:J39)</f>
        <v>1086681</v>
      </c>
      <c r="L39" s="25">
        <f t="shared" ref="L39:M41" si="20">+B39-G39</f>
        <v>791</v>
      </c>
      <c r="M39" s="25">
        <f t="shared" si="20"/>
        <v>16547</v>
      </c>
      <c r="N39" s="25"/>
      <c r="O39" s="25">
        <f>+E39-J39</f>
        <v>3609</v>
      </c>
      <c r="P39" s="26">
        <f>SUM(L39:O39)</f>
        <v>20947</v>
      </c>
      <c r="Q39" s="18"/>
    </row>
    <row r="40" spans="1:17" ht="12.75" customHeight="1">
      <c r="A40" s="22" t="s">
        <v>17</v>
      </c>
      <c r="B40" s="29">
        <v>77402</v>
      </c>
      <c r="C40" s="34"/>
      <c r="D40" s="34"/>
      <c r="E40" s="30"/>
      <c r="F40" s="24">
        <f>SUM(B40:E40)</f>
        <v>77402</v>
      </c>
      <c r="G40" s="29">
        <v>76171</v>
      </c>
      <c r="H40" s="34"/>
      <c r="I40" s="34"/>
      <c r="J40" s="34"/>
      <c r="K40" s="24">
        <f>SUM(G40:J40)</f>
        <v>76171</v>
      </c>
      <c r="L40" s="25">
        <f t="shared" si="20"/>
        <v>1231</v>
      </c>
      <c r="M40" s="25">
        <f t="shared" si="20"/>
        <v>0</v>
      </c>
      <c r="N40" s="25"/>
      <c r="O40" s="25">
        <f>+E40-J40</f>
        <v>0</v>
      </c>
      <c r="P40" s="26">
        <f>SUM(L40:O40)</f>
        <v>1231</v>
      </c>
      <c r="Q40" s="18"/>
    </row>
    <row r="41" spans="1:17" ht="12.75" customHeight="1">
      <c r="A41" s="22" t="s">
        <v>18</v>
      </c>
      <c r="B41" s="29">
        <v>32548</v>
      </c>
      <c r="C41" s="34"/>
      <c r="D41" s="34"/>
      <c r="E41" s="30"/>
      <c r="F41" s="24">
        <f>SUM(B41:E41)</f>
        <v>32548</v>
      </c>
      <c r="G41" s="29">
        <v>32096</v>
      </c>
      <c r="H41" s="34"/>
      <c r="I41" s="34"/>
      <c r="J41" s="34"/>
      <c r="K41" s="24">
        <f>SUM(G41:J41)</f>
        <v>32096</v>
      </c>
      <c r="L41" s="25">
        <f t="shared" si="20"/>
        <v>452</v>
      </c>
      <c r="M41" s="25">
        <f t="shared" si="20"/>
        <v>0</v>
      </c>
      <c r="N41" s="25"/>
      <c r="O41" s="25">
        <f>+E41-J41</f>
        <v>0</v>
      </c>
      <c r="P41" s="26">
        <f>SUM(L41:O41)</f>
        <v>452</v>
      </c>
      <c r="Q41" s="18"/>
    </row>
    <row r="42" spans="1:17" ht="12.75" customHeight="1">
      <c r="A42" s="22" t="s">
        <v>19</v>
      </c>
      <c r="B42" s="27">
        <f t="shared" ref="B42:K42" si="21">+B43+B44</f>
        <v>0</v>
      </c>
      <c r="C42" s="27">
        <f t="shared" si="21"/>
        <v>9713</v>
      </c>
      <c r="D42" s="27">
        <f t="shared" si="21"/>
        <v>0</v>
      </c>
      <c r="E42" s="27">
        <f t="shared" si="21"/>
        <v>19</v>
      </c>
      <c r="F42" s="27">
        <f t="shared" si="21"/>
        <v>9732</v>
      </c>
      <c r="G42" s="27">
        <f t="shared" si="21"/>
        <v>0</v>
      </c>
      <c r="H42" s="27">
        <f t="shared" si="21"/>
        <v>0</v>
      </c>
      <c r="I42" s="27">
        <f t="shared" si="21"/>
        <v>0</v>
      </c>
      <c r="J42" s="27">
        <f t="shared" si="21"/>
        <v>0</v>
      </c>
      <c r="K42" s="27">
        <f t="shared" si="21"/>
        <v>0</v>
      </c>
      <c r="L42" s="27">
        <f t="shared" ref="L42:P42" si="22">+L43+L44</f>
        <v>0</v>
      </c>
      <c r="M42" s="27">
        <f t="shared" si="22"/>
        <v>9713</v>
      </c>
      <c r="N42" s="27"/>
      <c r="O42" s="27">
        <f t="shared" si="22"/>
        <v>19</v>
      </c>
      <c r="P42" s="28">
        <f t="shared" si="22"/>
        <v>9732</v>
      </c>
      <c r="Q42" s="18"/>
    </row>
    <row r="43" spans="1:17" ht="12.75" customHeight="1">
      <c r="A43" s="23" t="s">
        <v>20</v>
      </c>
      <c r="B43" s="29"/>
      <c r="C43" s="29">
        <v>9713</v>
      </c>
      <c r="D43" s="29"/>
      <c r="E43" s="30">
        <v>19</v>
      </c>
      <c r="F43" s="24">
        <f>SUM(B43:E43)</f>
        <v>9732</v>
      </c>
      <c r="G43" s="29"/>
      <c r="H43" s="29"/>
      <c r="I43" s="29"/>
      <c r="J43" s="29"/>
      <c r="K43" s="24">
        <f>SUM(G43:J43)</f>
        <v>0</v>
      </c>
      <c r="L43" s="25">
        <f>+B43-G43</f>
        <v>0</v>
      </c>
      <c r="M43" s="25">
        <f>+C43-H43</f>
        <v>9713</v>
      </c>
      <c r="N43" s="25"/>
      <c r="O43" s="25">
        <f>+E43-J43</f>
        <v>19</v>
      </c>
      <c r="P43" s="26">
        <f>SUM(L43:O43)</f>
        <v>9732</v>
      </c>
      <c r="Q43" s="18"/>
    </row>
    <row r="44" spans="1:17" ht="12.75" customHeight="1">
      <c r="A44" s="23" t="s">
        <v>21</v>
      </c>
      <c r="B44" s="29"/>
      <c r="C44" s="29"/>
      <c r="D44" s="29"/>
      <c r="E44" s="30"/>
      <c r="F44" s="24">
        <f>SUM(B44:E44)</f>
        <v>0</v>
      </c>
      <c r="G44" s="29"/>
      <c r="H44" s="29"/>
      <c r="I44" s="29"/>
      <c r="J44" s="29"/>
      <c r="K44" s="24">
        <f>SUM(G44:J44)</f>
        <v>0</v>
      </c>
      <c r="L44" s="25">
        <f>+B44-G44</f>
        <v>0</v>
      </c>
      <c r="M44" s="25">
        <f>+C44-H44</f>
        <v>0</v>
      </c>
      <c r="N44" s="25"/>
      <c r="O44" s="25">
        <f>+E44-J44</f>
        <v>0</v>
      </c>
      <c r="P44" s="26">
        <f>SUM(L44:O44)</f>
        <v>0</v>
      </c>
      <c r="Q44" s="18"/>
    </row>
    <row r="45" spans="1:17" ht="12.75" customHeight="1">
      <c r="A45" s="33"/>
      <c r="B45" s="25"/>
      <c r="C45" s="25"/>
      <c r="D45" s="25"/>
      <c r="E45" s="25"/>
      <c r="F45" s="24"/>
      <c r="G45" s="47"/>
      <c r="H45" s="47"/>
      <c r="I45" s="47"/>
      <c r="J45" s="47"/>
      <c r="K45" s="32"/>
      <c r="L45" s="25"/>
      <c r="M45" s="25"/>
      <c r="N45" s="25"/>
      <c r="O45" s="25"/>
      <c r="P45" s="26"/>
      <c r="Q45" s="18"/>
    </row>
    <row r="46" spans="1:17" ht="12.75" customHeight="1">
      <c r="A46" s="215" t="s">
        <v>56</v>
      </c>
      <c r="B46" s="17">
        <f t="shared" ref="B46:K46" si="23">+B47+B51</f>
        <v>301022</v>
      </c>
      <c r="C46" s="17">
        <f t="shared" si="23"/>
        <v>843323</v>
      </c>
      <c r="D46" s="17">
        <f t="shared" si="23"/>
        <v>0</v>
      </c>
      <c r="E46" s="17">
        <f t="shared" si="23"/>
        <v>409757</v>
      </c>
      <c r="F46" s="17">
        <f t="shared" si="23"/>
        <v>1554102</v>
      </c>
      <c r="G46" s="17">
        <f t="shared" si="23"/>
        <v>300981</v>
      </c>
      <c r="H46" s="17">
        <f t="shared" si="23"/>
        <v>842480</v>
      </c>
      <c r="I46" s="17">
        <f t="shared" si="23"/>
        <v>0</v>
      </c>
      <c r="J46" s="17">
        <f t="shared" si="23"/>
        <v>398897</v>
      </c>
      <c r="K46" s="17">
        <f t="shared" si="23"/>
        <v>1542358</v>
      </c>
      <c r="L46" s="17">
        <f>+L47+L51</f>
        <v>41</v>
      </c>
      <c r="M46" s="17">
        <f>+M47+M51</f>
        <v>843</v>
      </c>
      <c r="N46" s="17"/>
      <c r="O46" s="17">
        <f>+O47+O51</f>
        <v>10860</v>
      </c>
      <c r="P46" s="17">
        <f>+P47+P51</f>
        <v>11744</v>
      </c>
      <c r="Q46" s="18">
        <f>+K46/F46</f>
        <v>0.99244322444730138</v>
      </c>
    </row>
    <row r="47" spans="1:17" ht="12.75" customHeight="1">
      <c r="A47" s="41" t="s">
        <v>15</v>
      </c>
      <c r="B47" s="20">
        <f t="shared" ref="B47:K47" si="24">+B48+B49+B50</f>
        <v>301022</v>
      </c>
      <c r="C47" s="20">
        <f t="shared" si="24"/>
        <v>400874</v>
      </c>
      <c r="D47" s="20">
        <f t="shared" si="24"/>
        <v>0</v>
      </c>
      <c r="E47" s="20">
        <f t="shared" si="24"/>
        <v>364293</v>
      </c>
      <c r="F47" s="20">
        <f t="shared" si="24"/>
        <v>1066189</v>
      </c>
      <c r="G47" s="20">
        <f t="shared" si="24"/>
        <v>300981</v>
      </c>
      <c r="H47" s="20">
        <f t="shared" si="24"/>
        <v>400031</v>
      </c>
      <c r="I47" s="20">
        <f t="shared" si="24"/>
        <v>0</v>
      </c>
      <c r="J47" s="20">
        <f t="shared" si="24"/>
        <v>357915</v>
      </c>
      <c r="K47" s="20">
        <f t="shared" si="24"/>
        <v>1058927</v>
      </c>
      <c r="L47" s="20">
        <f>+L48+L49+L50</f>
        <v>41</v>
      </c>
      <c r="M47" s="20">
        <f>+M48+M49+M50</f>
        <v>843</v>
      </c>
      <c r="N47" s="20"/>
      <c r="O47" s="20">
        <f>+O48+O49+O50</f>
        <v>6378</v>
      </c>
      <c r="P47" s="21">
        <f>+P48+P49+P50</f>
        <v>7262</v>
      </c>
      <c r="Q47" s="18"/>
    </row>
    <row r="48" spans="1:17" ht="12.75" customHeight="1">
      <c r="A48" s="22" t="s">
        <v>16</v>
      </c>
      <c r="B48" s="29">
        <v>245834</v>
      </c>
      <c r="C48" s="29">
        <v>400874</v>
      </c>
      <c r="D48" s="29"/>
      <c r="E48" s="30">
        <v>364293</v>
      </c>
      <c r="F48" s="24">
        <f>SUM(B48:E48)</f>
        <v>1011001</v>
      </c>
      <c r="G48" s="29">
        <f>263737-15695-2199-9</f>
        <v>245834</v>
      </c>
      <c r="H48" s="29">
        <v>400031</v>
      </c>
      <c r="I48" s="29"/>
      <c r="J48" s="29">
        <v>357915</v>
      </c>
      <c r="K48" s="24">
        <f>SUM(G48:J48)</f>
        <v>1003780</v>
      </c>
      <c r="L48" s="25">
        <f t="shared" ref="L48:M50" si="25">+B48-G48</f>
        <v>0</v>
      </c>
      <c r="M48" s="25">
        <f t="shared" si="25"/>
        <v>843</v>
      </c>
      <c r="N48" s="25"/>
      <c r="O48" s="25">
        <f>+E48-J48</f>
        <v>6378</v>
      </c>
      <c r="P48" s="26">
        <f>SUM(L48:O48)</f>
        <v>7221</v>
      </c>
      <c r="Q48" s="18"/>
    </row>
    <row r="49" spans="1:17" ht="12.75" customHeight="1">
      <c r="A49" s="22" t="s">
        <v>17</v>
      </c>
      <c r="B49" s="29">
        <v>34932</v>
      </c>
      <c r="C49" s="34"/>
      <c r="D49" s="34"/>
      <c r="E49" s="30"/>
      <c r="F49" s="24">
        <f>SUM(B49:E49)</f>
        <v>34932</v>
      </c>
      <c r="G49" s="29">
        <f>24306+12938-2312</f>
        <v>34932</v>
      </c>
      <c r="H49" s="34"/>
      <c r="I49" s="34"/>
      <c r="J49" s="34"/>
      <c r="K49" s="24">
        <f>SUM(G49:J49)</f>
        <v>34932</v>
      </c>
      <c r="L49" s="25">
        <f t="shared" si="25"/>
        <v>0</v>
      </c>
      <c r="M49" s="25">
        <f t="shared" si="25"/>
        <v>0</v>
      </c>
      <c r="N49" s="25"/>
      <c r="O49" s="25">
        <f>+E49-J49</f>
        <v>0</v>
      </c>
      <c r="P49" s="26">
        <f>SUM(L49:O49)</f>
        <v>0</v>
      </c>
      <c r="Q49" s="18"/>
    </row>
    <row r="50" spans="1:17" ht="12.75" customHeight="1">
      <c r="A50" s="22" t="s">
        <v>18</v>
      </c>
      <c r="B50" s="29">
        <v>20256</v>
      </c>
      <c r="C50" s="34"/>
      <c r="D50" s="34"/>
      <c r="E50" s="35"/>
      <c r="F50" s="24">
        <f>SUM(B50:E50)</f>
        <v>20256</v>
      </c>
      <c r="G50" s="29">
        <f>15695+2199+2312+9</f>
        <v>20215</v>
      </c>
      <c r="H50" s="34"/>
      <c r="I50" s="34"/>
      <c r="J50" s="34"/>
      <c r="K50" s="24">
        <f>SUM(G50:J50)</f>
        <v>20215</v>
      </c>
      <c r="L50" s="25">
        <f t="shared" si="25"/>
        <v>41</v>
      </c>
      <c r="M50" s="25">
        <f t="shared" si="25"/>
        <v>0</v>
      </c>
      <c r="N50" s="25"/>
      <c r="O50" s="25">
        <f>+E50-J50</f>
        <v>0</v>
      </c>
      <c r="P50" s="26">
        <f>SUM(L50:O50)</f>
        <v>41</v>
      </c>
      <c r="Q50" s="18"/>
    </row>
    <row r="51" spans="1:17" ht="12.75" customHeight="1">
      <c r="A51" s="22" t="s">
        <v>19</v>
      </c>
      <c r="B51" s="27">
        <f t="shared" ref="B51:K51" si="26">+B52+B53</f>
        <v>0</v>
      </c>
      <c r="C51" s="27">
        <f t="shared" si="26"/>
        <v>442449</v>
      </c>
      <c r="D51" s="27">
        <f t="shared" si="26"/>
        <v>0</v>
      </c>
      <c r="E51" s="27">
        <f t="shared" si="26"/>
        <v>45464</v>
      </c>
      <c r="F51" s="27">
        <f t="shared" si="26"/>
        <v>487913</v>
      </c>
      <c r="G51" s="27">
        <f t="shared" si="26"/>
        <v>0</v>
      </c>
      <c r="H51" s="27">
        <f t="shared" si="26"/>
        <v>442449</v>
      </c>
      <c r="I51" s="27">
        <f t="shared" si="26"/>
        <v>0</v>
      </c>
      <c r="J51" s="27">
        <f t="shared" si="26"/>
        <v>40982</v>
      </c>
      <c r="K51" s="27">
        <f t="shared" si="26"/>
        <v>483431</v>
      </c>
      <c r="L51" s="27">
        <f t="shared" ref="L51:P51" si="27">+L52+L53</f>
        <v>0</v>
      </c>
      <c r="M51" s="27">
        <f t="shared" si="27"/>
        <v>0</v>
      </c>
      <c r="N51" s="27"/>
      <c r="O51" s="27">
        <f t="shared" si="27"/>
        <v>4482</v>
      </c>
      <c r="P51" s="28">
        <f t="shared" si="27"/>
        <v>4482</v>
      </c>
      <c r="Q51" s="18"/>
    </row>
    <row r="52" spans="1:17" ht="12.75" customHeight="1">
      <c r="A52" s="23" t="s">
        <v>20</v>
      </c>
      <c r="B52" s="29"/>
      <c r="C52" s="29">
        <v>442449</v>
      </c>
      <c r="D52" s="29"/>
      <c r="E52" s="30">
        <v>45464</v>
      </c>
      <c r="F52" s="24">
        <f>SUM(B52:E52)</f>
        <v>487913</v>
      </c>
      <c r="G52" s="29"/>
      <c r="H52" s="29">
        <v>442449</v>
      </c>
      <c r="I52" s="29"/>
      <c r="J52" s="29">
        <v>40982</v>
      </c>
      <c r="K52" s="24">
        <f>SUM(G52:J52)</f>
        <v>483431</v>
      </c>
      <c r="L52" s="25">
        <f>+B52-G52</f>
        <v>0</v>
      </c>
      <c r="M52" s="25">
        <f>+C52-H52</f>
        <v>0</v>
      </c>
      <c r="N52" s="25"/>
      <c r="O52" s="25">
        <f>+E52-J52</f>
        <v>4482</v>
      </c>
      <c r="P52" s="26">
        <f>SUM(L52:O52)</f>
        <v>4482</v>
      </c>
      <c r="Q52" s="18"/>
    </row>
    <row r="53" spans="1:17" ht="12.75" customHeight="1">
      <c r="A53" s="23" t="s">
        <v>21</v>
      </c>
      <c r="B53" s="29"/>
      <c r="C53" s="29"/>
      <c r="D53" s="29"/>
      <c r="E53" s="30"/>
      <c r="F53" s="24">
        <f>SUM(B53:E53)</f>
        <v>0</v>
      </c>
      <c r="G53" s="29"/>
      <c r="H53" s="29"/>
      <c r="I53" s="29"/>
      <c r="J53" s="29"/>
      <c r="K53" s="24">
        <f>SUM(G53:J53)</f>
        <v>0</v>
      </c>
      <c r="L53" s="25">
        <f>+B53-G53</f>
        <v>0</v>
      </c>
      <c r="M53" s="25">
        <f>+C53-H53</f>
        <v>0</v>
      </c>
      <c r="N53" s="25"/>
      <c r="O53" s="25">
        <f>+E53-J53</f>
        <v>0</v>
      </c>
      <c r="P53" s="26">
        <f>SUM(L53:O53)</f>
        <v>0</v>
      </c>
      <c r="Q53" s="18"/>
    </row>
    <row r="54" spans="1:17" ht="12.75" customHeight="1">
      <c r="A54" s="221"/>
      <c r="B54" s="44"/>
      <c r="C54" s="44"/>
      <c r="D54" s="44"/>
      <c r="E54" s="44"/>
      <c r="F54" s="77"/>
      <c r="G54" s="84"/>
      <c r="H54" s="84"/>
      <c r="I54" s="84"/>
      <c r="J54" s="84"/>
      <c r="K54" s="82"/>
      <c r="L54" s="44"/>
      <c r="M54" s="44"/>
      <c r="N54" s="44"/>
      <c r="O54" s="44"/>
      <c r="P54" s="75"/>
      <c r="Q54" s="76"/>
    </row>
    <row r="55" spans="1:17" ht="12.75" customHeight="1">
      <c r="A55" s="33" t="s">
        <v>57</v>
      </c>
      <c r="B55" s="17">
        <f t="shared" ref="B55:K55" si="28">+B56+B60</f>
        <v>44474</v>
      </c>
      <c r="C55" s="17">
        <f t="shared" si="28"/>
        <v>20425</v>
      </c>
      <c r="D55" s="17">
        <f t="shared" si="28"/>
        <v>0</v>
      </c>
      <c r="E55" s="17">
        <f t="shared" si="28"/>
        <v>8086</v>
      </c>
      <c r="F55" s="17">
        <f t="shared" si="28"/>
        <v>72985</v>
      </c>
      <c r="G55" s="17">
        <f t="shared" si="28"/>
        <v>44430</v>
      </c>
      <c r="H55" s="17">
        <f t="shared" si="28"/>
        <v>19414</v>
      </c>
      <c r="I55" s="17">
        <f t="shared" si="28"/>
        <v>0</v>
      </c>
      <c r="J55" s="17">
        <f t="shared" si="28"/>
        <v>7845</v>
      </c>
      <c r="K55" s="17">
        <f t="shared" si="28"/>
        <v>71689</v>
      </c>
      <c r="L55" s="17">
        <f>+L56+L60</f>
        <v>44</v>
      </c>
      <c r="M55" s="17">
        <f>+M56+M60</f>
        <v>1011</v>
      </c>
      <c r="N55" s="17"/>
      <c r="O55" s="17">
        <f>+O56+O60</f>
        <v>241</v>
      </c>
      <c r="P55" s="17">
        <f>+P56+P60</f>
        <v>1296</v>
      </c>
      <c r="Q55" s="18">
        <f>+K55/F55</f>
        <v>0.98224292662875934</v>
      </c>
    </row>
    <row r="56" spans="1:17" ht="12.75" customHeight="1">
      <c r="A56" s="41" t="s">
        <v>15</v>
      </c>
      <c r="B56" s="20">
        <f t="shared" ref="B56:K56" si="29">+B57+B58+B59</f>
        <v>44474</v>
      </c>
      <c r="C56" s="20">
        <f t="shared" si="29"/>
        <v>19677</v>
      </c>
      <c r="D56" s="20">
        <f t="shared" si="29"/>
        <v>0</v>
      </c>
      <c r="E56" s="20">
        <f t="shared" si="29"/>
        <v>6900</v>
      </c>
      <c r="F56" s="20">
        <f t="shared" si="29"/>
        <v>71051</v>
      </c>
      <c r="G56" s="20">
        <f t="shared" si="29"/>
        <v>44430</v>
      </c>
      <c r="H56" s="20">
        <f t="shared" si="29"/>
        <v>18666</v>
      </c>
      <c r="I56" s="20">
        <f t="shared" si="29"/>
        <v>0</v>
      </c>
      <c r="J56" s="20">
        <f t="shared" si="29"/>
        <v>6659</v>
      </c>
      <c r="K56" s="20">
        <f t="shared" si="29"/>
        <v>69755</v>
      </c>
      <c r="L56" s="20">
        <f>+L57+L58+L59</f>
        <v>44</v>
      </c>
      <c r="M56" s="20">
        <f>+M57+M58+M59</f>
        <v>1011</v>
      </c>
      <c r="N56" s="20"/>
      <c r="O56" s="20">
        <f>+O57+O58+O59</f>
        <v>241</v>
      </c>
      <c r="P56" s="21">
        <f>+P57+P58+P59</f>
        <v>1296</v>
      </c>
      <c r="Q56" s="18"/>
    </row>
    <row r="57" spans="1:17" ht="12.75" customHeight="1">
      <c r="A57" s="22" t="s">
        <v>16</v>
      </c>
      <c r="B57" s="29">
        <v>38171</v>
      </c>
      <c r="C57" s="29">
        <v>19677</v>
      </c>
      <c r="D57" s="29"/>
      <c r="E57" s="30">
        <v>6900</v>
      </c>
      <c r="F57" s="24">
        <f>SUM(B57:E57)</f>
        <v>64748</v>
      </c>
      <c r="G57" s="29">
        <v>38171</v>
      </c>
      <c r="H57" s="29">
        <v>18666</v>
      </c>
      <c r="I57" s="29"/>
      <c r="J57" s="29">
        <v>6659</v>
      </c>
      <c r="K57" s="24">
        <f>SUM(G57:J57)</f>
        <v>63496</v>
      </c>
      <c r="L57" s="25">
        <f t="shared" ref="L57:M59" si="30">+B57-G57</f>
        <v>0</v>
      </c>
      <c r="M57" s="25">
        <f t="shared" si="30"/>
        <v>1011</v>
      </c>
      <c r="N57" s="25"/>
      <c r="O57" s="25">
        <f>+E57-J57</f>
        <v>241</v>
      </c>
      <c r="P57" s="26">
        <f>SUM(L57:O57)</f>
        <v>1252</v>
      </c>
      <c r="Q57" s="18"/>
    </row>
    <row r="58" spans="1:17" ht="12.75" customHeight="1">
      <c r="A58" s="22" t="s">
        <v>17</v>
      </c>
      <c r="B58" s="29">
        <v>2804</v>
      </c>
      <c r="C58" s="29"/>
      <c r="D58" s="29"/>
      <c r="E58" s="30"/>
      <c r="F58" s="24">
        <f>SUM(B58:E58)</f>
        <v>2804</v>
      </c>
      <c r="G58" s="29">
        <v>2804</v>
      </c>
      <c r="H58" s="29"/>
      <c r="I58" s="29"/>
      <c r="J58" s="29"/>
      <c r="K58" s="24">
        <f>SUM(G58:J58)</f>
        <v>2804</v>
      </c>
      <c r="L58" s="25">
        <f t="shared" si="30"/>
        <v>0</v>
      </c>
      <c r="M58" s="25">
        <f t="shared" si="30"/>
        <v>0</v>
      </c>
      <c r="N58" s="25"/>
      <c r="O58" s="25">
        <f>+E58-J58</f>
        <v>0</v>
      </c>
      <c r="P58" s="26">
        <f>SUM(L58:O58)</f>
        <v>0</v>
      </c>
      <c r="Q58" s="18"/>
    </row>
    <row r="59" spans="1:17" ht="12.75" customHeight="1">
      <c r="A59" s="22" t="s">
        <v>18</v>
      </c>
      <c r="B59" s="29">
        <v>3499</v>
      </c>
      <c r="C59" s="34"/>
      <c r="D59" s="34"/>
      <c r="E59" s="35"/>
      <c r="F59" s="24">
        <f>SUM(B59:E59)</f>
        <v>3499</v>
      </c>
      <c r="G59" s="29">
        <v>3455</v>
      </c>
      <c r="H59" s="34"/>
      <c r="I59" s="34"/>
      <c r="J59" s="34"/>
      <c r="K59" s="24">
        <f>SUM(G59:J59)</f>
        <v>3455</v>
      </c>
      <c r="L59" s="25">
        <f t="shared" si="30"/>
        <v>44</v>
      </c>
      <c r="M59" s="25">
        <f t="shared" si="30"/>
        <v>0</v>
      </c>
      <c r="N59" s="25"/>
      <c r="O59" s="25">
        <f>+E59-J59</f>
        <v>0</v>
      </c>
      <c r="P59" s="26">
        <f>SUM(L59:O59)</f>
        <v>44</v>
      </c>
      <c r="Q59" s="18"/>
    </row>
    <row r="60" spans="1:17" ht="12.75" customHeight="1">
      <c r="A60" s="22" t="s">
        <v>19</v>
      </c>
      <c r="B60" s="27">
        <f t="shared" ref="B60:K60" si="31">+B61+B62</f>
        <v>0</v>
      </c>
      <c r="C60" s="27">
        <f t="shared" si="31"/>
        <v>748</v>
      </c>
      <c r="D60" s="27">
        <f t="shared" si="31"/>
        <v>0</v>
      </c>
      <c r="E60" s="27">
        <f t="shared" si="31"/>
        <v>1186</v>
      </c>
      <c r="F60" s="27">
        <f t="shared" si="31"/>
        <v>1934</v>
      </c>
      <c r="G60" s="27">
        <f t="shared" si="31"/>
        <v>0</v>
      </c>
      <c r="H60" s="27">
        <f t="shared" si="31"/>
        <v>748</v>
      </c>
      <c r="I60" s="27">
        <f t="shared" si="31"/>
        <v>0</v>
      </c>
      <c r="J60" s="27">
        <f t="shared" si="31"/>
        <v>1186</v>
      </c>
      <c r="K60" s="27">
        <f t="shared" si="31"/>
        <v>1934</v>
      </c>
      <c r="L60" s="27">
        <f t="shared" ref="L60:P60" si="32">+L61+L62</f>
        <v>0</v>
      </c>
      <c r="M60" s="27">
        <f t="shared" si="32"/>
        <v>0</v>
      </c>
      <c r="N60" s="27"/>
      <c r="O60" s="27">
        <f t="shared" si="32"/>
        <v>0</v>
      </c>
      <c r="P60" s="28">
        <f t="shared" si="32"/>
        <v>0</v>
      </c>
      <c r="Q60" s="18"/>
    </row>
    <row r="61" spans="1:17" ht="12.75" customHeight="1">
      <c r="A61" s="23" t="s">
        <v>20</v>
      </c>
      <c r="B61" s="29"/>
      <c r="C61" s="29">
        <f>534+123+91</f>
        <v>748</v>
      </c>
      <c r="D61" s="29"/>
      <c r="E61" s="30">
        <f>1214-28</f>
        <v>1186</v>
      </c>
      <c r="F61" s="24">
        <f>SUM(B61:E61)</f>
        <v>1934</v>
      </c>
      <c r="G61" s="29"/>
      <c r="H61" s="29">
        <v>748</v>
      </c>
      <c r="I61" s="29"/>
      <c r="J61" s="29">
        <v>1186</v>
      </c>
      <c r="K61" s="24">
        <f>SUM(G61:J61)</f>
        <v>1934</v>
      </c>
      <c r="L61" s="25">
        <f>+B61-G61</f>
        <v>0</v>
      </c>
      <c r="M61" s="25">
        <f>+C61-H61</f>
        <v>0</v>
      </c>
      <c r="N61" s="25"/>
      <c r="O61" s="25">
        <f>+E61-J61</f>
        <v>0</v>
      </c>
      <c r="P61" s="26">
        <f>SUM(L61:O61)</f>
        <v>0</v>
      </c>
      <c r="Q61" s="18"/>
    </row>
    <row r="62" spans="1:17" ht="12.75" customHeight="1">
      <c r="A62" s="23" t="s">
        <v>21</v>
      </c>
      <c r="B62" s="29"/>
      <c r="C62" s="29"/>
      <c r="D62" s="29"/>
      <c r="E62" s="30"/>
      <c r="F62" s="24">
        <f>SUM(B62:E62)</f>
        <v>0</v>
      </c>
      <c r="G62" s="29"/>
      <c r="H62" s="29"/>
      <c r="I62" s="29"/>
      <c r="J62" s="29"/>
      <c r="K62" s="24">
        <f>SUM(G62:J62)</f>
        <v>0</v>
      </c>
      <c r="L62" s="25">
        <f>+B62-G62</f>
        <v>0</v>
      </c>
      <c r="M62" s="25">
        <f>+C62-H62</f>
        <v>0</v>
      </c>
      <c r="N62" s="25"/>
      <c r="O62" s="25">
        <f>+E62-J62</f>
        <v>0</v>
      </c>
      <c r="P62" s="26">
        <f>SUM(L62:O62)</f>
        <v>0</v>
      </c>
      <c r="Q62" s="18"/>
    </row>
    <row r="63" spans="1:17" ht="12.75" customHeight="1">
      <c r="A63" s="33"/>
      <c r="B63" s="25"/>
      <c r="C63" s="25"/>
      <c r="D63" s="25"/>
      <c r="E63" s="25"/>
      <c r="F63" s="24"/>
      <c r="G63" s="47"/>
      <c r="H63" s="47"/>
      <c r="I63" s="47"/>
      <c r="J63" s="47"/>
      <c r="K63" s="32"/>
      <c r="L63" s="25"/>
      <c r="M63" s="25"/>
      <c r="N63" s="25"/>
      <c r="O63" s="25"/>
      <c r="P63" s="26"/>
      <c r="Q63" s="18"/>
    </row>
    <row r="64" spans="1:17" ht="12.75" customHeight="1">
      <c r="A64" s="215" t="s">
        <v>58</v>
      </c>
      <c r="B64" s="17">
        <f t="shared" ref="B64:K64" si="33">+B65+B69</f>
        <v>43622</v>
      </c>
      <c r="C64" s="17">
        <f t="shared" si="33"/>
        <v>26608</v>
      </c>
      <c r="D64" s="17">
        <f t="shared" si="33"/>
        <v>0</v>
      </c>
      <c r="E64" s="17">
        <f t="shared" si="33"/>
        <v>8600</v>
      </c>
      <c r="F64" s="17">
        <f t="shared" si="33"/>
        <v>78830</v>
      </c>
      <c r="G64" s="17">
        <f t="shared" si="33"/>
        <v>43512</v>
      </c>
      <c r="H64" s="17">
        <f t="shared" si="33"/>
        <v>26607</v>
      </c>
      <c r="I64" s="17">
        <f t="shared" si="33"/>
        <v>0</v>
      </c>
      <c r="J64" s="17">
        <f t="shared" si="33"/>
        <v>8554</v>
      </c>
      <c r="K64" s="17">
        <f t="shared" si="33"/>
        <v>78673</v>
      </c>
      <c r="L64" s="17">
        <f>+L65+L69</f>
        <v>110</v>
      </c>
      <c r="M64" s="17">
        <f>+M65+M69</f>
        <v>1</v>
      </c>
      <c r="N64" s="17"/>
      <c r="O64" s="17">
        <f>+O65+O69</f>
        <v>46</v>
      </c>
      <c r="P64" s="17">
        <f>+P65+P69</f>
        <v>157</v>
      </c>
      <c r="Q64" s="18">
        <f>+K64/F64</f>
        <v>0.99800837244703788</v>
      </c>
    </row>
    <row r="65" spans="1:17" ht="12.75" customHeight="1">
      <c r="A65" s="41" t="s">
        <v>15</v>
      </c>
      <c r="B65" s="20">
        <f t="shared" ref="B65:K65" si="34">+B66+B67+B68</f>
        <v>43622</v>
      </c>
      <c r="C65" s="20">
        <f t="shared" si="34"/>
        <v>26608</v>
      </c>
      <c r="D65" s="20">
        <f t="shared" si="34"/>
        <v>0</v>
      </c>
      <c r="E65" s="20">
        <f t="shared" si="34"/>
        <v>8600</v>
      </c>
      <c r="F65" s="20">
        <f t="shared" si="34"/>
        <v>78830</v>
      </c>
      <c r="G65" s="20">
        <f t="shared" si="34"/>
        <v>43512</v>
      </c>
      <c r="H65" s="20">
        <f t="shared" si="34"/>
        <v>26607</v>
      </c>
      <c r="I65" s="20">
        <f t="shared" si="34"/>
        <v>0</v>
      </c>
      <c r="J65" s="20">
        <f t="shared" si="34"/>
        <v>8554</v>
      </c>
      <c r="K65" s="20">
        <f t="shared" si="34"/>
        <v>78673</v>
      </c>
      <c r="L65" s="20">
        <f>+L66+L67+L68</f>
        <v>110</v>
      </c>
      <c r="M65" s="20">
        <f>+M66+M67+M68</f>
        <v>1</v>
      </c>
      <c r="N65" s="20"/>
      <c r="O65" s="20">
        <f>+O66+O67+O68</f>
        <v>46</v>
      </c>
      <c r="P65" s="21">
        <f>+P66+P67+P68</f>
        <v>157</v>
      </c>
      <c r="Q65" s="18"/>
    </row>
    <row r="66" spans="1:17" ht="12.75" customHeight="1">
      <c r="A66" s="22" t="s">
        <v>16</v>
      </c>
      <c r="B66" s="29">
        <v>34504</v>
      </c>
      <c r="C66" s="29">
        <v>26608</v>
      </c>
      <c r="D66" s="29"/>
      <c r="E66" s="30">
        <v>8600</v>
      </c>
      <c r="F66" s="24">
        <f>SUM(B66:E66)</f>
        <v>69712</v>
      </c>
      <c r="G66" s="29">
        <v>34473</v>
      </c>
      <c r="H66" s="29">
        <v>26607</v>
      </c>
      <c r="I66" s="29"/>
      <c r="J66" s="29">
        <v>8554</v>
      </c>
      <c r="K66" s="24">
        <f>SUM(G66:J66)</f>
        <v>69634</v>
      </c>
      <c r="L66" s="25">
        <f t="shared" ref="L66:M68" si="35">+B66-G66</f>
        <v>31</v>
      </c>
      <c r="M66" s="25">
        <f t="shared" si="35"/>
        <v>1</v>
      </c>
      <c r="N66" s="25"/>
      <c r="O66" s="25">
        <f>+E66-J66</f>
        <v>46</v>
      </c>
      <c r="P66" s="26">
        <f>SUM(L66:O66)</f>
        <v>78</v>
      </c>
      <c r="Q66" s="18"/>
    </row>
    <row r="67" spans="1:17" ht="12.75" customHeight="1">
      <c r="A67" s="22" t="s">
        <v>17</v>
      </c>
      <c r="B67" s="29">
        <v>5905</v>
      </c>
      <c r="C67" s="34"/>
      <c r="D67" s="34"/>
      <c r="E67" s="30"/>
      <c r="F67" s="24">
        <f>SUM(B67:E67)</f>
        <v>5905</v>
      </c>
      <c r="G67" s="29">
        <v>5896</v>
      </c>
      <c r="H67" s="34"/>
      <c r="I67" s="34"/>
      <c r="J67" s="34"/>
      <c r="K67" s="24">
        <f>SUM(G67:J67)</f>
        <v>5896</v>
      </c>
      <c r="L67" s="25">
        <f t="shared" si="35"/>
        <v>9</v>
      </c>
      <c r="M67" s="25">
        <f t="shared" si="35"/>
        <v>0</v>
      </c>
      <c r="N67" s="25"/>
      <c r="O67" s="25">
        <f>+E67-J67</f>
        <v>0</v>
      </c>
      <c r="P67" s="26">
        <f>SUM(L67:O67)</f>
        <v>9</v>
      </c>
      <c r="Q67" s="18"/>
    </row>
    <row r="68" spans="1:17" ht="12.75" customHeight="1">
      <c r="A68" s="22" t="s">
        <v>18</v>
      </c>
      <c r="B68" s="29">
        <v>3213</v>
      </c>
      <c r="C68" s="34"/>
      <c r="D68" s="34"/>
      <c r="E68" s="35"/>
      <c r="F68" s="24">
        <f>SUM(B68:E68)</f>
        <v>3213</v>
      </c>
      <c r="G68" s="29">
        <v>3143</v>
      </c>
      <c r="H68" s="34"/>
      <c r="I68" s="34"/>
      <c r="J68" s="34"/>
      <c r="K68" s="24">
        <f>SUM(G68:J68)</f>
        <v>3143</v>
      </c>
      <c r="L68" s="25">
        <f t="shared" si="35"/>
        <v>70</v>
      </c>
      <c r="M68" s="25">
        <f t="shared" si="35"/>
        <v>0</v>
      </c>
      <c r="N68" s="25"/>
      <c r="O68" s="25">
        <f>+E68-J68</f>
        <v>0</v>
      </c>
      <c r="P68" s="26">
        <f>SUM(L68:O68)</f>
        <v>70</v>
      </c>
      <c r="Q68" s="18"/>
    </row>
    <row r="69" spans="1:17" ht="12.75" customHeight="1">
      <c r="A69" s="22" t="s">
        <v>19</v>
      </c>
      <c r="B69" s="27">
        <f t="shared" ref="B69:K69" si="36">+B70+B71</f>
        <v>0</v>
      </c>
      <c r="C69" s="27">
        <f t="shared" si="36"/>
        <v>0</v>
      </c>
      <c r="D69" s="27">
        <f t="shared" si="36"/>
        <v>0</v>
      </c>
      <c r="E69" s="27">
        <f t="shared" si="36"/>
        <v>0</v>
      </c>
      <c r="F69" s="27">
        <f t="shared" si="36"/>
        <v>0</v>
      </c>
      <c r="G69" s="27">
        <f t="shared" si="36"/>
        <v>0</v>
      </c>
      <c r="H69" s="27">
        <f t="shared" si="36"/>
        <v>0</v>
      </c>
      <c r="I69" s="27">
        <f t="shared" si="36"/>
        <v>0</v>
      </c>
      <c r="J69" s="27">
        <f t="shared" si="36"/>
        <v>0</v>
      </c>
      <c r="K69" s="27">
        <f t="shared" si="36"/>
        <v>0</v>
      </c>
      <c r="L69" s="27">
        <f t="shared" ref="L69:P69" si="37">+L70+L71</f>
        <v>0</v>
      </c>
      <c r="M69" s="27">
        <f t="shared" si="37"/>
        <v>0</v>
      </c>
      <c r="N69" s="27"/>
      <c r="O69" s="27">
        <f t="shared" si="37"/>
        <v>0</v>
      </c>
      <c r="P69" s="28">
        <f t="shared" si="37"/>
        <v>0</v>
      </c>
      <c r="Q69" s="18"/>
    </row>
    <row r="70" spans="1:17" ht="12.75" customHeight="1">
      <c r="A70" s="23" t="s">
        <v>20</v>
      </c>
      <c r="B70" s="29"/>
      <c r="C70" s="29"/>
      <c r="D70" s="29"/>
      <c r="E70" s="30"/>
      <c r="F70" s="24">
        <f>SUM(B70:E70)</f>
        <v>0</v>
      </c>
      <c r="G70" s="29"/>
      <c r="H70" s="29"/>
      <c r="I70" s="29"/>
      <c r="J70" s="29"/>
      <c r="K70" s="24">
        <f>SUM(G70:J70)</f>
        <v>0</v>
      </c>
      <c r="L70" s="25">
        <f>+B70-G70</f>
        <v>0</v>
      </c>
      <c r="M70" s="25">
        <f>+C70-H70</f>
        <v>0</v>
      </c>
      <c r="N70" s="25"/>
      <c r="O70" s="25">
        <f>+E70-J70</f>
        <v>0</v>
      </c>
      <c r="P70" s="26">
        <f>SUM(L70:O70)</f>
        <v>0</v>
      </c>
      <c r="Q70" s="18"/>
    </row>
    <row r="71" spans="1:17" ht="12.75" customHeight="1">
      <c r="A71" s="23" t="s">
        <v>21</v>
      </c>
      <c r="B71" s="29"/>
      <c r="C71" s="29"/>
      <c r="D71" s="29"/>
      <c r="E71" s="30"/>
      <c r="F71" s="24">
        <f>SUM(B71:E71)</f>
        <v>0</v>
      </c>
      <c r="G71" s="29"/>
      <c r="H71" s="29"/>
      <c r="I71" s="29"/>
      <c r="J71" s="29"/>
      <c r="K71" s="24">
        <f>SUM(G71:J71)</f>
        <v>0</v>
      </c>
      <c r="L71" s="25">
        <f>+B71-G71</f>
        <v>0</v>
      </c>
      <c r="M71" s="25">
        <f>+C71-H71</f>
        <v>0</v>
      </c>
      <c r="N71" s="25"/>
      <c r="O71" s="25">
        <f>+E71-J71</f>
        <v>0</v>
      </c>
      <c r="P71" s="26">
        <f>SUM(L71:O71)</f>
        <v>0</v>
      </c>
      <c r="Q71" s="18"/>
    </row>
    <row r="72" spans="1:17" ht="12.75" customHeight="1">
      <c r="A72" s="67"/>
      <c r="B72" s="44"/>
      <c r="C72" s="44"/>
      <c r="D72" s="44"/>
      <c r="E72" s="44"/>
      <c r="F72" s="77"/>
      <c r="G72" s="84"/>
      <c r="H72" s="84"/>
      <c r="I72" s="84"/>
      <c r="J72" s="84"/>
      <c r="K72" s="82"/>
      <c r="L72" s="44"/>
      <c r="M72" s="44"/>
      <c r="N72" s="44"/>
      <c r="O72" s="44"/>
      <c r="P72" s="75"/>
      <c r="Q72" s="76"/>
    </row>
    <row r="73" spans="1:17">
      <c r="A73" s="80"/>
    </row>
    <row r="74" spans="1:17">
      <c r="A74" s="80"/>
    </row>
    <row r="75" spans="1:17">
      <c r="A75" s="80"/>
    </row>
    <row r="76" spans="1:17">
      <c r="A76" s="80"/>
    </row>
    <row r="77" spans="1:17">
      <c r="A77" s="80"/>
    </row>
    <row r="78" spans="1:17">
      <c r="A78" s="80"/>
    </row>
    <row r="79" spans="1:17">
      <c r="A79" s="80"/>
    </row>
    <row r="80" spans="1:17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  <row r="110" spans="1:1">
      <c r="A110" s="80"/>
    </row>
    <row r="111" spans="1:1">
      <c r="A111" s="80"/>
    </row>
    <row r="112" spans="1:1">
      <c r="A112" s="80"/>
    </row>
    <row r="113" spans="1:1">
      <c r="A113" s="80"/>
    </row>
    <row r="114" spans="1:1">
      <c r="A114" s="80"/>
    </row>
    <row r="115" spans="1:1">
      <c r="A115" s="80"/>
    </row>
    <row r="116" spans="1:1">
      <c r="A116" s="80"/>
    </row>
    <row r="117" spans="1:1">
      <c r="A117" s="80"/>
    </row>
    <row r="118" spans="1:1">
      <c r="A118" s="80"/>
    </row>
    <row r="119" spans="1:1">
      <c r="A119" s="80"/>
    </row>
    <row r="120" spans="1:1">
      <c r="A120" s="80"/>
    </row>
    <row r="121" spans="1:1">
      <c r="A121" s="80"/>
    </row>
    <row r="122" spans="1:1">
      <c r="A122" s="80"/>
    </row>
    <row r="123" spans="1:1">
      <c r="A123" s="80"/>
    </row>
    <row r="124" spans="1:1">
      <c r="A124" s="80"/>
    </row>
    <row r="125" spans="1:1">
      <c r="A125" s="80"/>
    </row>
    <row r="126" spans="1:1">
      <c r="A126" s="80"/>
    </row>
    <row r="127" spans="1:1">
      <c r="A127" s="80"/>
    </row>
    <row r="128" spans="1:1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  <row r="1006" spans="1:1">
      <c r="A1006" s="80"/>
    </row>
    <row r="1007" spans="1:1">
      <c r="A1007" s="80"/>
    </row>
    <row r="1008" spans="1:1">
      <c r="A1008" s="80"/>
    </row>
    <row r="1009" spans="1:1">
      <c r="A1009" s="80"/>
    </row>
    <row r="1010" spans="1:1">
      <c r="A1010" s="80"/>
    </row>
    <row r="1011" spans="1:1">
      <c r="A1011" s="80"/>
    </row>
    <row r="1012" spans="1:1">
      <c r="A1012" s="80"/>
    </row>
    <row r="1013" spans="1:1">
      <c r="A1013" s="80"/>
    </row>
    <row r="1014" spans="1:1">
      <c r="A1014" s="80"/>
    </row>
    <row r="1015" spans="1:1">
      <c r="A1015" s="80"/>
    </row>
    <row r="1016" spans="1:1">
      <c r="A1016" s="80"/>
    </row>
    <row r="1017" spans="1:1">
      <c r="A1017" s="80"/>
    </row>
    <row r="1018" spans="1:1">
      <c r="A1018" s="80"/>
    </row>
    <row r="1019" spans="1:1">
      <c r="A1019" s="80"/>
    </row>
    <row r="1020" spans="1:1">
      <c r="A1020" s="80"/>
    </row>
    <row r="1021" spans="1:1">
      <c r="A1021" s="80"/>
    </row>
    <row r="1022" spans="1:1">
      <c r="A1022" s="80"/>
    </row>
    <row r="1023" spans="1:1">
      <c r="A1023" s="80"/>
    </row>
    <row r="1024" spans="1:1">
      <c r="A1024" s="80"/>
    </row>
    <row r="1025" spans="1:1">
      <c r="A1025" s="80"/>
    </row>
    <row r="1026" spans="1:1">
      <c r="A1026" s="80"/>
    </row>
    <row r="1027" spans="1:1">
      <c r="A1027" s="80"/>
    </row>
    <row r="1028" spans="1:1">
      <c r="A1028" s="80"/>
    </row>
    <row r="1029" spans="1:1">
      <c r="A1029" s="80"/>
    </row>
    <row r="1030" spans="1:1">
      <c r="A1030" s="80"/>
    </row>
    <row r="1031" spans="1:1">
      <c r="A1031" s="80"/>
    </row>
    <row r="1032" spans="1:1">
      <c r="A1032" s="80"/>
    </row>
    <row r="1033" spans="1:1">
      <c r="A1033" s="80"/>
    </row>
    <row r="1034" spans="1:1">
      <c r="A1034" s="80"/>
    </row>
    <row r="1035" spans="1:1">
      <c r="A1035" s="80"/>
    </row>
    <row r="1036" spans="1:1">
      <c r="A1036" s="80"/>
    </row>
    <row r="1037" spans="1:1">
      <c r="A1037" s="80"/>
    </row>
    <row r="1038" spans="1:1">
      <c r="A1038" s="80"/>
    </row>
    <row r="1039" spans="1:1">
      <c r="A1039" s="80"/>
    </row>
    <row r="1040" spans="1:1">
      <c r="A1040" s="80"/>
    </row>
    <row r="1041" spans="1:1">
      <c r="A1041" s="80"/>
    </row>
    <row r="1042" spans="1:1">
      <c r="A1042" s="80"/>
    </row>
    <row r="1043" spans="1:1">
      <c r="A1043" s="80"/>
    </row>
    <row r="1044" spans="1:1">
      <c r="A1044" s="80"/>
    </row>
    <row r="1045" spans="1:1">
      <c r="A1045" s="80"/>
    </row>
    <row r="1046" spans="1:1">
      <c r="A1046" s="80"/>
    </row>
    <row r="1047" spans="1:1">
      <c r="A1047" s="80"/>
    </row>
    <row r="1048" spans="1:1">
      <c r="A1048" s="80"/>
    </row>
    <row r="1049" spans="1:1">
      <c r="A1049" s="80"/>
    </row>
    <row r="1050" spans="1:1">
      <c r="A1050" s="80"/>
    </row>
    <row r="1051" spans="1:1">
      <c r="A1051" s="80"/>
    </row>
    <row r="1052" spans="1:1">
      <c r="A1052" s="80"/>
    </row>
    <row r="1053" spans="1:1">
      <c r="A1053" s="80"/>
    </row>
    <row r="1054" spans="1:1">
      <c r="A1054" s="80"/>
    </row>
    <row r="1055" spans="1:1">
      <c r="A1055" s="80"/>
    </row>
    <row r="1056" spans="1:1">
      <c r="A1056" s="80"/>
    </row>
    <row r="1057" spans="1:1">
      <c r="A1057" s="80"/>
    </row>
  </sheetData>
  <mergeCells count="5">
    <mergeCell ref="A6:A8"/>
    <mergeCell ref="B6:F7"/>
    <mergeCell ref="G6:K7"/>
    <mergeCell ref="L6:P7"/>
    <mergeCell ref="Q6:Q8"/>
  </mergeCells>
  <printOptions horizontalCentered="1"/>
  <pageMargins left="0.3" right="0.1" top="0.41" bottom="0.1" header="0.17" footer="0.32"/>
  <pageSetup paperSize="9" scale="70" fitToHeight="15" orientation="landscape" r:id="rId1"/>
  <headerFooter alignWithMargins="0">
    <oddFooter>Page &amp;P of &amp;N</oddFooter>
  </headerFooter>
  <rowBreaks count="1" manualBreakCount="1">
    <brk id="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68</vt:i4>
      </vt:variant>
    </vt:vector>
  </HeadingPairs>
  <TitlesOfParts>
    <vt:vector size="103" baseType="lpstr">
      <vt:lpstr>CONGRESS</vt:lpstr>
      <vt:lpstr>OP</vt:lpstr>
      <vt:lpstr>OVP</vt:lpstr>
      <vt:lpstr>DAR</vt:lpstr>
      <vt:lpstr>DA</vt:lpstr>
      <vt:lpstr>DBM</vt:lpstr>
      <vt:lpstr>DEPED</vt:lpstr>
      <vt:lpstr>DOE</vt:lpstr>
      <vt:lpstr>DENR</vt:lpstr>
      <vt:lpstr>DOF</vt:lpstr>
      <vt:lpstr>DFA</vt:lpstr>
      <vt:lpstr>DOH</vt:lpstr>
      <vt:lpstr>DILG</vt:lpstr>
      <vt:lpstr>DOJ</vt:lpstr>
      <vt:lpstr>DOLE</vt:lpstr>
      <vt:lpstr>DND</vt:lpstr>
      <vt:lpstr>DPWH</vt:lpstr>
      <vt:lpstr>DOST</vt:lpstr>
      <vt:lpstr>DSWD</vt:lpstr>
      <vt:lpstr>DOT</vt:lpstr>
      <vt:lpstr>DTI</vt:lpstr>
      <vt:lpstr>DOTC</vt:lpstr>
      <vt:lpstr>NEDA</vt:lpstr>
      <vt:lpstr>PCOO</vt:lpstr>
      <vt:lpstr>OEO</vt:lpstr>
      <vt:lpstr>ARMM</vt:lpstr>
      <vt:lpstr>JLEC</vt:lpstr>
      <vt:lpstr>JUDICIARY</vt:lpstr>
      <vt:lpstr>CSC</vt:lpstr>
      <vt:lpstr>COA</vt:lpstr>
      <vt:lpstr>COMELEC</vt:lpstr>
      <vt:lpstr>OMB</vt:lpstr>
      <vt:lpstr>CHR</vt:lpstr>
      <vt:lpstr>By SUCs</vt:lpstr>
      <vt:lpstr>Sheet39</vt:lpstr>
      <vt:lpstr>ARMM!Print_Area</vt:lpstr>
      <vt:lpstr>'By SUCs'!Print_Area</vt:lpstr>
      <vt:lpstr>CHR!Print_Area</vt:lpstr>
      <vt:lpstr>COA!Print_Area</vt:lpstr>
      <vt:lpstr>COMELEC!Print_Area</vt:lpstr>
      <vt:lpstr>CONGRESS!Print_Area</vt:lpstr>
      <vt:lpstr>CSC!Print_Area</vt:lpstr>
      <vt:lpstr>DA!Print_Area</vt:lpstr>
      <vt:lpstr>DAR!Print_Area</vt:lpstr>
      <vt:lpstr>DBM!Print_Area</vt:lpstr>
      <vt:lpstr>DENR!Print_Area</vt:lpstr>
      <vt:lpstr>DEPED!Print_Area</vt:lpstr>
      <vt:lpstr>DFA!Print_Area</vt:lpstr>
      <vt:lpstr>DILG!Print_Area</vt:lpstr>
      <vt:lpstr>DND!Print_Area</vt:lpstr>
      <vt:lpstr>DOE!Print_Area</vt:lpstr>
      <vt:lpstr>DOF!Print_Area</vt:lpstr>
      <vt:lpstr>DOH!Print_Area</vt:lpstr>
      <vt:lpstr>DOJ!Print_Area</vt:lpstr>
      <vt:lpstr>DOLE!Print_Area</vt:lpstr>
      <vt:lpstr>DOST!Print_Area</vt:lpstr>
      <vt:lpstr>DOT!Print_Area</vt:lpstr>
      <vt:lpstr>DOTC!Print_Area</vt:lpstr>
      <vt:lpstr>DPWH!Print_Area</vt:lpstr>
      <vt:lpstr>DSWD!Print_Area</vt:lpstr>
      <vt:lpstr>DTI!Print_Area</vt:lpstr>
      <vt:lpstr>JLEC!Print_Area</vt:lpstr>
      <vt:lpstr>JUDICIARY!Print_Area</vt:lpstr>
      <vt:lpstr>NEDA!Print_Area</vt:lpstr>
      <vt:lpstr>OEO!Print_Area</vt:lpstr>
      <vt:lpstr>OMB!Print_Area</vt:lpstr>
      <vt:lpstr>OP!Print_Area</vt:lpstr>
      <vt:lpstr>OVP!Print_Area</vt:lpstr>
      <vt:lpstr>PCOO!Print_Area</vt:lpstr>
      <vt:lpstr>ARMM!Print_Titles</vt:lpstr>
      <vt:lpstr>'By SUCs'!Print_Titles</vt:lpstr>
      <vt:lpstr>CHR!Print_Titles</vt:lpstr>
      <vt:lpstr>COA!Print_Titles</vt:lpstr>
      <vt:lpstr>COMELEC!Print_Titles</vt:lpstr>
      <vt:lpstr>CONGRESS!Print_Titles</vt:lpstr>
      <vt:lpstr>CSC!Print_Titles</vt:lpstr>
      <vt:lpstr>DA!Print_Titles</vt:lpstr>
      <vt:lpstr>DAR!Print_Titles</vt:lpstr>
      <vt:lpstr>DBM!Print_Titles</vt:lpstr>
      <vt:lpstr>DENR!Print_Titles</vt:lpstr>
      <vt:lpstr>DEPED!Print_Titles</vt:lpstr>
      <vt:lpstr>DFA!Print_Titles</vt:lpstr>
      <vt:lpstr>DILG!Print_Titles</vt:lpstr>
      <vt:lpstr>DND!Print_Titles</vt:lpstr>
      <vt:lpstr>DOE!Print_Titles</vt:lpstr>
      <vt:lpstr>DOF!Print_Titles</vt:lpstr>
      <vt:lpstr>DOH!Print_Titles</vt:lpstr>
      <vt:lpstr>DOJ!Print_Titles</vt:lpstr>
      <vt:lpstr>DOLE!Print_Titles</vt:lpstr>
      <vt:lpstr>DOST!Print_Titles</vt:lpstr>
      <vt:lpstr>DOT!Print_Titles</vt:lpstr>
      <vt:lpstr>DOTC!Print_Titles</vt:lpstr>
      <vt:lpstr>DPWH!Print_Titles</vt:lpstr>
      <vt:lpstr>DSWD!Print_Titles</vt:lpstr>
      <vt:lpstr>DTI!Print_Titles</vt:lpstr>
      <vt:lpstr>JLEC!Print_Titles</vt:lpstr>
      <vt:lpstr>JUDICIARY!Print_Titles</vt:lpstr>
      <vt:lpstr>NEDA!Print_Titles</vt:lpstr>
      <vt:lpstr>OEO!Print_Titles</vt:lpstr>
      <vt:lpstr>OMB!Print_Titles</vt:lpstr>
      <vt:lpstr>OP!Print_Titles</vt:lpstr>
      <vt:lpstr>OVP!Print_Titles</vt:lpstr>
      <vt:lpstr>PCOO!Print_Titles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Peach Adarna</dc:creator>
  <cp:lastModifiedBy>kdumpa</cp:lastModifiedBy>
  <cp:lastPrinted>2015-03-25T02:56:30Z</cp:lastPrinted>
  <dcterms:created xsi:type="dcterms:W3CDTF">2014-11-25T09:58:46Z</dcterms:created>
  <dcterms:modified xsi:type="dcterms:W3CDTF">2015-03-31T01:52:22Z</dcterms:modified>
</cp:coreProperties>
</file>